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autoCompressPictures="0" defaultThemeVersion="123820"/>
  <mc:AlternateContent xmlns:mc="http://schemas.openxmlformats.org/markup-compatibility/2006">
    <mc:Choice Requires="x15">
      <x15ac:absPath xmlns:x15ac="http://schemas.microsoft.com/office/spreadsheetml/2010/11/ac" url="C:\Users\adrian.grayshield\Desktop\2024 Budget\2024 IHC Budgets\"/>
    </mc:Choice>
  </mc:AlternateContent>
  <xr:revisionPtr revIDLastSave="0" documentId="13_ncr:1_{FA496DB0-72C8-47B1-B897-BC7C225FB6CD}" xr6:coauthVersionLast="47" xr6:coauthVersionMax="47" xr10:uidLastSave="{00000000-0000-0000-0000-000000000000}"/>
  <bookViews>
    <workbookView xWindow="28690" yWindow="-3670" windowWidth="38620" windowHeight="15820" xr2:uid="{16115718-4F44-45D9-8799-B868EC39A944}"/>
  </bookViews>
  <sheets>
    <sheet name="IHC Program" sheetId="2" r:id="rId1"/>
    <sheet name="Drop Downs" sheetId="13" state="hidden" r:id="rId2"/>
  </sheets>
  <definedNames>
    <definedName name="_xlnm.Print_Area" localSheetId="0">'IHC Program'!$B$1:$P$58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5" i="13" l="1"/>
  <c r="E65" i="13" s="1"/>
  <c r="AC39" i="2" l="1"/>
  <c r="W58" i="2"/>
  <c r="W18" i="2" s="1"/>
  <c r="L5" i="2" s="1"/>
  <c r="L4" i="2"/>
  <c r="X6" i="2"/>
  <c r="X7" i="2"/>
  <c r="O7" i="2"/>
  <c r="O6" i="2"/>
  <c r="Q7" i="2" l="1"/>
  <c r="Z7" i="2" s="1"/>
  <c r="Q6" i="2"/>
  <c r="Z6" i="2" s="1"/>
  <c r="Q5" i="2"/>
  <c r="Z5" i="2" s="1"/>
  <c r="AB4" i="2"/>
  <c r="AA4" i="2"/>
  <c r="U4" i="2"/>
  <c r="T4" i="2"/>
  <c r="S4" i="2"/>
  <c r="R4" i="2"/>
  <c r="K4" i="2"/>
  <c r="J4" i="2"/>
  <c r="I4" i="2"/>
  <c r="H4" i="2"/>
  <c r="G4" i="2"/>
  <c r="F4" i="2"/>
  <c r="E4" i="2"/>
  <c r="H22" i="13"/>
  <c r="H24" i="13"/>
  <c r="W26" i="13" l="1"/>
  <c r="W27" i="13"/>
  <c r="W25" i="13"/>
  <c r="V26" i="13"/>
  <c r="V27" i="13"/>
  <c r="V25" i="13"/>
  <c r="U26" i="13"/>
  <c r="U27" i="13"/>
  <c r="U25" i="13"/>
  <c r="W16" i="13"/>
  <c r="W17" i="13"/>
  <c r="W18" i="13"/>
  <c r="W19" i="13"/>
  <c r="W20" i="13"/>
  <c r="W21" i="13"/>
  <c r="W22" i="13"/>
  <c r="W23" i="13"/>
  <c r="W24" i="13"/>
  <c r="V16" i="13"/>
  <c r="V17" i="13"/>
  <c r="V18" i="13"/>
  <c r="V19" i="13"/>
  <c r="V20" i="13"/>
  <c r="V21" i="13"/>
  <c r="V22" i="13"/>
  <c r="V23" i="13"/>
  <c r="V24" i="13"/>
  <c r="U17" i="13"/>
  <c r="U18" i="13"/>
  <c r="U19" i="13"/>
  <c r="U20" i="13"/>
  <c r="U21" i="13"/>
  <c r="U22" i="13"/>
  <c r="U23" i="13"/>
  <c r="U24" i="13"/>
  <c r="U16" i="13"/>
  <c r="AB43" i="2"/>
  <c r="AB44" i="2"/>
  <c r="AC44" i="2" s="1"/>
  <c r="AB45" i="2"/>
  <c r="AC45" i="2" s="1"/>
  <c r="AB46" i="2"/>
  <c r="AC46" i="2" s="1"/>
  <c r="AB47" i="2"/>
  <c r="AC47" i="2" s="1"/>
  <c r="AB48" i="2"/>
  <c r="AC48" i="2" s="1"/>
  <c r="AB49" i="2"/>
  <c r="AB50" i="2"/>
  <c r="AB51" i="2"/>
  <c r="AC51" i="2" s="1"/>
  <c r="AB52" i="2"/>
  <c r="AB53" i="2"/>
  <c r="AB54" i="2"/>
  <c r="AB55" i="2"/>
  <c r="AB56" i="2"/>
  <c r="AB57" i="2"/>
  <c r="AC43" i="2"/>
  <c r="AC49" i="2"/>
  <c r="AC50" i="2"/>
  <c r="AC52" i="2"/>
  <c r="AC53" i="2"/>
  <c r="AC54" i="2"/>
  <c r="AC55" i="2"/>
  <c r="AC56" i="2"/>
  <c r="AC57" i="2"/>
  <c r="AA58" i="2"/>
  <c r="AA18" i="2" s="1"/>
  <c r="U5" i="2" s="1"/>
  <c r="G24" i="13"/>
  <c r="W4" i="13"/>
  <c r="W5" i="13"/>
  <c r="U4" i="13"/>
  <c r="U5" i="13"/>
  <c r="U6" i="13"/>
  <c r="U7" i="13"/>
  <c r="U8" i="13"/>
  <c r="U9" i="13"/>
  <c r="U10" i="13"/>
  <c r="U11" i="13"/>
  <c r="U12" i="13"/>
  <c r="U13" i="13"/>
  <c r="U14" i="13"/>
  <c r="U15" i="13"/>
  <c r="W6" i="13"/>
  <c r="W7" i="13"/>
  <c r="W8" i="13"/>
  <c r="W9" i="13"/>
  <c r="W10" i="13"/>
  <c r="W11" i="13"/>
  <c r="W12" i="13"/>
  <c r="W13" i="13"/>
  <c r="W14" i="13"/>
  <c r="W15" i="13"/>
  <c r="V15" i="13"/>
  <c r="V14" i="13"/>
  <c r="V13" i="13"/>
  <c r="V12" i="13"/>
  <c r="V11" i="13"/>
  <c r="V10" i="13"/>
  <c r="V9" i="13"/>
  <c r="V8" i="13"/>
  <c r="V7" i="13"/>
  <c r="V6" i="13"/>
  <c r="V5" i="13"/>
  <c r="V4" i="13"/>
  <c r="D26" i="13"/>
  <c r="E26" i="13" s="1"/>
  <c r="D27" i="13"/>
  <c r="E27" i="13" s="1"/>
  <c r="D28" i="13"/>
  <c r="E28" i="13" s="1"/>
  <c r="D29" i="13"/>
  <c r="E29" i="13" s="1"/>
  <c r="D30" i="13"/>
  <c r="E30" i="13" s="1"/>
  <c r="D31" i="13"/>
  <c r="E31" i="13" s="1"/>
  <c r="D32" i="13"/>
  <c r="E32" i="13" s="1"/>
  <c r="D33" i="13"/>
  <c r="E33" i="13" s="1"/>
  <c r="D34" i="13"/>
  <c r="E34" i="13" s="1"/>
  <c r="D35" i="13"/>
  <c r="E35" i="13" s="1"/>
  <c r="D36" i="13"/>
  <c r="E36" i="13" s="1"/>
  <c r="D37" i="13"/>
  <c r="E37" i="13" s="1"/>
  <c r="D38" i="13"/>
  <c r="E38" i="13" s="1"/>
  <c r="D39" i="13"/>
  <c r="E39" i="13" s="1"/>
  <c r="D40" i="13"/>
  <c r="E40" i="13" s="1"/>
  <c r="D41" i="13"/>
  <c r="E41" i="13" s="1"/>
  <c r="D42" i="13"/>
  <c r="E42" i="13" s="1"/>
  <c r="D43" i="13"/>
  <c r="E43" i="13" s="1"/>
  <c r="D44" i="13"/>
  <c r="E44" i="13" s="1"/>
  <c r="D45" i="13"/>
  <c r="E45" i="13" s="1"/>
  <c r="D46" i="13"/>
  <c r="E46" i="13" s="1"/>
  <c r="D47" i="13"/>
  <c r="E47" i="13" s="1"/>
  <c r="D48" i="13"/>
  <c r="E48" i="13" s="1"/>
  <c r="D49" i="13"/>
  <c r="E49" i="13" s="1"/>
  <c r="D50" i="13"/>
  <c r="E50" i="13" s="1"/>
  <c r="D51" i="13"/>
  <c r="E51" i="13" s="1"/>
  <c r="D52" i="13"/>
  <c r="E52" i="13" s="1"/>
  <c r="D53" i="13"/>
  <c r="E53" i="13" s="1"/>
  <c r="D54" i="13"/>
  <c r="E54" i="13" s="1"/>
  <c r="D55" i="13"/>
  <c r="E55" i="13" s="1"/>
  <c r="D56" i="13"/>
  <c r="E56" i="13" s="1"/>
  <c r="D57" i="13"/>
  <c r="E57" i="13" s="1"/>
  <c r="D58" i="13"/>
  <c r="E58" i="13" s="1"/>
  <c r="D59" i="13"/>
  <c r="E59" i="13" s="1"/>
  <c r="D60" i="13"/>
  <c r="E60" i="13" s="1"/>
  <c r="D61" i="13"/>
  <c r="E61" i="13" s="1"/>
  <c r="D62" i="13"/>
  <c r="E62" i="13" s="1"/>
  <c r="D63" i="13"/>
  <c r="E63" i="13" s="1"/>
  <c r="D64" i="13"/>
  <c r="E64" i="13" s="1"/>
  <c r="D66" i="13"/>
  <c r="E66" i="13" s="1"/>
  <c r="D67" i="13"/>
  <c r="E67" i="13" s="1"/>
  <c r="D68" i="13"/>
  <c r="E68" i="13" s="1"/>
  <c r="D69" i="13"/>
  <c r="E69" i="13" s="1"/>
  <c r="D70" i="13"/>
  <c r="E70" i="13" s="1"/>
  <c r="D71" i="13"/>
  <c r="E71" i="13" s="1"/>
  <c r="D72" i="13"/>
  <c r="E72" i="13" s="1"/>
  <c r="D73" i="13"/>
  <c r="E73" i="13" s="1"/>
  <c r="D74" i="13"/>
  <c r="E74" i="13" s="1"/>
  <c r="D75" i="13"/>
  <c r="E75" i="13" s="1"/>
  <c r="D76" i="13"/>
  <c r="E76" i="13" s="1"/>
  <c r="D77" i="13"/>
  <c r="E77" i="13" s="1"/>
  <c r="D78" i="13"/>
  <c r="E78" i="13" s="1"/>
  <c r="D25" i="13"/>
  <c r="E25" i="13" s="1"/>
  <c r="D24" i="13"/>
  <c r="E24" i="13" s="1"/>
  <c r="B58" i="2"/>
  <c r="K39" i="2" l="1" a="1"/>
  <c r="K39" i="2" s="1"/>
  <c r="O39" i="2" s="1"/>
  <c r="P39" i="2" s="1"/>
  <c r="AB39" i="2" s="1"/>
  <c r="K22" i="2" a="1"/>
  <c r="K22" i="2" s="1"/>
  <c r="O22" i="2" s="1"/>
  <c r="K23" i="2" a="1"/>
  <c r="K23" i="2" s="1"/>
  <c r="O23" i="2" s="1"/>
  <c r="K41" i="2" a="1"/>
  <c r="K41" i="2" s="1"/>
  <c r="O41" i="2" s="1"/>
  <c r="K21" i="2" a="1"/>
  <c r="K21" i="2" s="1"/>
  <c r="O21" i="2" s="1"/>
  <c r="K40" i="2" a="1"/>
  <c r="K40" i="2" s="1"/>
  <c r="O40" i="2" s="1"/>
  <c r="K38" i="2" a="1"/>
  <c r="K38" i="2" s="1"/>
  <c r="O38" i="2" s="1"/>
  <c r="K37" i="2" a="1"/>
  <c r="K37" i="2" s="1"/>
  <c r="O37" i="2" s="1"/>
  <c r="K25" i="2" a="1"/>
  <c r="K25" i="2" s="1"/>
  <c r="O25" i="2" s="1"/>
  <c r="K31" i="2" a="1"/>
  <c r="K31" i="2" s="1"/>
  <c r="O31" i="2" s="1"/>
  <c r="K33" i="2" a="1"/>
  <c r="K33" i="2" s="1"/>
  <c r="O33" i="2" s="1"/>
  <c r="K34" i="2" a="1"/>
  <c r="K34" i="2" s="1"/>
  <c r="O34" i="2" s="1"/>
  <c r="K32" i="2" a="1"/>
  <c r="K32" i="2" s="1"/>
  <c r="O32" i="2" s="1"/>
  <c r="K26" i="2" a="1"/>
  <c r="K26" i="2" s="1"/>
  <c r="O26" i="2" s="1"/>
  <c r="K29" i="2" a="1"/>
  <c r="K29" i="2" s="1"/>
  <c r="O29" i="2" s="1"/>
  <c r="K28" i="2" a="1"/>
  <c r="K28" i="2" s="1"/>
  <c r="O28" i="2" s="1"/>
  <c r="K27" i="2" a="1"/>
  <c r="K27" i="2" s="1"/>
  <c r="O27" i="2" s="1"/>
  <c r="K24" i="2" a="1"/>
  <c r="K24" i="2" s="1"/>
  <c r="O24" i="2" s="1"/>
  <c r="K36" i="2" a="1"/>
  <c r="K36" i="2" s="1"/>
  <c r="O36" i="2" s="1"/>
  <c r="K42" i="2" a="1"/>
  <c r="K42" i="2" s="1"/>
  <c r="O42" i="2" s="1"/>
  <c r="K35" i="2" a="1"/>
  <c r="K35" i="2" s="1"/>
  <c r="O35" i="2" s="1"/>
  <c r="K30" i="2" a="1"/>
  <c r="K30" i="2" s="1"/>
  <c r="O30" i="2" s="1"/>
  <c r="K19" i="2" a="1"/>
  <c r="K19" i="2" s="1"/>
  <c r="O19" i="2" s="1"/>
  <c r="P19" i="2" s="1"/>
  <c r="K20" i="2" a="1"/>
  <c r="K20" i="2" s="1"/>
  <c r="O20" i="2" s="1"/>
  <c r="P26" i="2" l="1"/>
  <c r="AB26" i="2" s="1"/>
  <c r="AC26" i="2" s="1"/>
  <c r="P28" i="2"/>
  <c r="AB28" i="2" s="1"/>
  <c r="AC28" i="2" s="1"/>
  <c r="P32" i="2"/>
  <c r="AB32" i="2" s="1"/>
  <c r="AC32" i="2" s="1"/>
  <c r="P23" i="2"/>
  <c r="AB23" i="2" s="1"/>
  <c r="AC23" i="2" s="1"/>
  <c r="P29" i="2"/>
  <c r="AB29" i="2" s="1"/>
  <c r="AC29" i="2" s="1"/>
  <c r="P41" i="2"/>
  <c r="AB41" i="2" s="1"/>
  <c r="AC41" i="2" s="1"/>
  <c r="P21" i="2"/>
  <c r="AB21" i="2" s="1"/>
  <c r="AC21" i="2" s="1"/>
  <c r="P30" i="2"/>
  <c r="AB30" i="2" s="1"/>
  <c r="AC30" i="2" s="1"/>
  <c r="P38" i="2"/>
  <c r="AB38" i="2" s="1"/>
  <c r="AC38" i="2" s="1"/>
  <c r="P25" i="2"/>
  <c r="AB25" i="2" s="1"/>
  <c r="AC25" i="2" s="1"/>
  <c r="P24" i="2"/>
  <c r="AB24" i="2" s="1"/>
  <c r="AC24" i="2" s="1"/>
  <c r="P33" i="2"/>
  <c r="AB33" i="2" s="1"/>
  <c r="AC33" i="2" s="1"/>
  <c r="P42" i="2"/>
  <c r="AB42" i="2" s="1"/>
  <c r="AC42" i="2" s="1"/>
  <c r="P34" i="2"/>
  <c r="AB34" i="2" s="1"/>
  <c r="AC34" i="2" s="1"/>
  <c r="P20" i="2"/>
  <c r="AB20" i="2" s="1"/>
  <c r="AC20" i="2" s="1"/>
  <c r="P27" i="2"/>
  <c r="AB27" i="2" s="1"/>
  <c r="AC27" i="2" s="1"/>
  <c r="P36" i="2"/>
  <c r="AB36" i="2" s="1"/>
  <c r="AC36" i="2" s="1"/>
  <c r="P35" i="2"/>
  <c r="AB35" i="2" s="1"/>
  <c r="AC35" i="2" s="1"/>
  <c r="P40" i="2"/>
  <c r="AB40" i="2" s="1"/>
  <c r="AC40" i="2" s="1"/>
  <c r="P22" i="2"/>
  <c r="AB22" i="2" s="1"/>
  <c r="AC22" i="2" s="1"/>
  <c r="P37" i="2"/>
  <c r="AB37" i="2" s="1"/>
  <c r="AC37" i="2" s="1"/>
  <c r="P31" i="2"/>
  <c r="AB31" i="2" s="1"/>
  <c r="AC31" i="2" s="1"/>
  <c r="AB19" i="2"/>
  <c r="AC19" i="2" s="1"/>
  <c r="AB58" i="2" l="1"/>
  <c r="AB18" i="2" s="1"/>
  <c r="AA5" i="2" s="1"/>
  <c r="AC58" i="2"/>
  <c r="AC18" i="2" s="1"/>
  <c r="AB5" i="2" s="1"/>
  <c r="P58" i="2"/>
  <c r="V58" i="2"/>
  <c r="U58" i="2"/>
  <c r="S58" i="2"/>
  <c r="Y58" i="2"/>
  <c r="R58" i="2"/>
  <c r="R18" i="2" s="1"/>
  <c r="Q58" i="2"/>
  <c r="Q18" i="2" s="1"/>
  <c r="F5" i="2" s="1"/>
  <c r="T58" i="2"/>
  <c r="X58" i="2"/>
  <c r="X18" i="2" s="1"/>
  <c r="R5" i="2" s="1"/>
  <c r="Z58" i="2"/>
  <c r="S18" i="2" l="1"/>
  <c r="H5" i="2" s="1"/>
  <c r="T18" i="2"/>
  <c r="I5" i="2" s="1"/>
  <c r="Y18" i="2"/>
  <c r="S5" i="2" s="1"/>
  <c r="U18" i="2"/>
  <c r="J5" i="2" s="1"/>
  <c r="Z18" i="2"/>
  <c r="T5" i="2" s="1"/>
  <c r="V18" i="2"/>
  <c r="K5" i="2" s="1"/>
  <c r="P18" i="2"/>
  <c r="E5" i="2" s="1"/>
  <c r="G5" i="2"/>
  <c r="X5" i="2" l="1"/>
  <c r="O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<sst xmlns="http://schemas.openxmlformats.org/spreadsheetml/2006/main" count="263" uniqueCount="150">
  <si>
    <t>Stop Date</t>
  </si>
  <si>
    <t>Start Date</t>
  </si>
  <si>
    <t>Step</t>
  </si>
  <si>
    <t>First Name</t>
  </si>
  <si>
    <t>Last Name</t>
  </si>
  <si>
    <t xml:space="preserve">GS </t>
  </si>
  <si>
    <t>EBC</t>
  </si>
  <si>
    <t>Vehicle Fuel
$</t>
  </si>
  <si>
    <t>Vehicle Maintenance
$</t>
  </si>
  <si>
    <t>Facilities
$</t>
  </si>
  <si>
    <t>Gear / Uniform
$</t>
  </si>
  <si>
    <t>Travel
$</t>
  </si>
  <si>
    <t>Training
$</t>
  </si>
  <si>
    <t>Furlough Health Benefits
$</t>
  </si>
  <si>
    <t>Annual Salary w/EBCs
$</t>
  </si>
  <si>
    <t>TBD
$</t>
  </si>
  <si>
    <t>PD # / Contract # / etc.</t>
  </si>
  <si>
    <t>COLUMN TOTALS</t>
  </si>
  <si>
    <t>Org:  NATIONAL INTERAGENCY FIRE CENTER</t>
  </si>
  <si>
    <t>GS-1</t>
  </si>
  <si>
    <t>GS-2</t>
  </si>
  <si>
    <t>GS-3</t>
  </si>
  <si>
    <t>GS-4</t>
  </si>
  <si>
    <t>GS-5</t>
  </si>
  <si>
    <t>GS-6</t>
  </si>
  <si>
    <t>GS-7</t>
  </si>
  <si>
    <t>GS-8</t>
  </si>
  <si>
    <t>GS-9</t>
  </si>
  <si>
    <t>GS-10</t>
  </si>
  <si>
    <t>GS-11</t>
  </si>
  <si>
    <t>GS-12</t>
  </si>
  <si>
    <t>GS-13</t>
  </si>
  <si>
    <t>GS-14</t>
  </si>
  <si>
    <t>GS-15</t>
  </si>
  <si>
    <t>Step 1</t>
  </si>
  <si>
    <t>Step 2</t>
  </si>
  <si>
    <t>Step 3</t>
  </si>
  <si>
    <t>Step 4</t>
  </si>
  <si>
    <t>Step 5</t>
  </si>
  <si>
    <t>Step 6</t>
  </si>
  <si>
    <t>Step 7</t>
  </si>
  <si>
    <t>Step 8</t>
  </si>
  <si>
    <t>Step 9</t>
  </si>
  <si>
    <t>Step 10</t>
  </si>
  <si>
    <t>Decimal</t>
  </si>
  <si>
    <t>Multiplier</t>
  </si>
  <si>
    <t>Locality</t>
  </si>
  <si>
    <t>ALBANY-SCHENECTADY, NY-MA</t>
  </si>
  <si>
    <t>ALBUQUERQUE-SANTA FE-LAS VEGAS, NM</t>
  </si>
  <si>
    <t>ATLANTA--ATHENS-CLARKE COUNTY--SANDY SPRINGS, GA-AL</t>
  </si>
  <si>
    <t>AUSTIN-ROUND ROCK, TX</t>
  </si>
  <si>
    <t>BIRMINGHAM-HOOVER-TALLADEGA, AL</t>
  </si>
  <si>
    <t>BOSTON-WORCESTER-PROVIDENCE, MA-RI-NH-ME</t>
  </si>
  <si>
    <t>BUFFALO-CHEEKTOWAGA, NY</t>
  </si>
  <si>
    <t>BURLINGTON-SOUTH BURLINGTON, VT</t>
  </si>
  <si>
    <t>CHARLOTTE-CONCORD, NC-SC</t>
  </si>
  <si>
    <t>CHICAGO-NAPERVILLE, IL-IN-WI</t>
  </si>
  <si>
    <t>CINCINNATI-WILMINGTON-MAYSVILLE, OH-KY-IN</t>
  </si>
  <si>
    <t>CLEVELAND-AKRON-CANTON, OH</t>
  </si>
  <si>
    <t>COLORADO SPRINGS, CO</t>
  </si>
  <si>
    <t>COLUMBUS-MARION-ZANESVILLE, OH</t>
  </si>
  <si>
    <t>CORPUS CHRISTI-KINGSVILLE-ALICE, TX</t>
  </si>
  <si>
    <t>DALLAS-FORT WORTH, TX-OK</t>
  </si>
  <si>
    <t>DAVENPORT-MOLINE, IA-IL</t>
  </si>
  <si>
    <t>DAYTON-SPRINGFIELD-SIDNEY, OH</t>
  </si>
  <si>
    <t>DENVER-AURORA, CO</t>
  </si>
  <si>
    <t>DES MOINES-AMES-WEST DES MOINES, IA</t>
  </si>
  <si>
    <t>DETROIT-WARREN-ANN ARBOR, MI</t>
  </si>
  <si>
    <t>HARRISBURG-LEBANON, PA</t>
  </si>
  <si>
    <t>HARTFORD-WEST HARTFORD, CT-MA</t>
  </si>
  <si>
    <t>HOUSTON-THE WOODLANDS, TX</t>
  </si>
  <si>
    <t>HUNTSVILLE-DECATUR-ALBERTVILLE, AL</t>
  </si>
  <si>
    <t>INDIANAPOLIS-CARMEL-MUNCIE, IN</t>
  </si>
  <si>
    <t>KANSAS CITY-OVERLAND PARK-KANSAS CITY, MO-KS</t>
  </si>
  <si>
    <t>LAREDO, TX</t>
  </si>
  <si>
    <t>LAS VEGAS-HENDERSON, NV-AZ</t>
  </si>
  <si>
    <t>LOS ANGELES-LONG BEACH, CA</t>
  </si>
  <si>
    <t>MIAMI-FORT LAUDERDALE-PORT ST. LUCIE, FL</t>
  </si>
  <si>
    <t>MILWAUKEE-RACINE-WAUKESHA, WI</t>
  </si>
  <si>
    <t>MINNEAPOLIS-ST. PAUL, MN-WI</t>
  </si>
  <si>
    <t>NEW YORK-NEWARK, NY-NJ-CT-PA</t>
  </si>
  <si>
    <t>OMAHA-COUNCIL BLUFFS-FREMONT, NE-IA</t>
  </si>
  <si>
    <t>PALM BAY-MELBOURNE-TITUSVILLE, FL</t>
  </si>
  <si>
    <t>PHILADELPHIA-READING-CAMDEN, PA-NJ-DE-MD</t>
  </si>
  <si>
    <t>PHOENIX-MESA-SCOTTSDALE, AZ</t>
  </si>
  <si>
    <t>PITTSBURGH-NEW CASTLE-WEIRTON, PA-OH-WV</t>
  </si>
  <si>
    <t>PORTLAND-VANCOUVER-SALEM, OR-WA</t>
  </si>
  <si>
    <t>RALEIGH-DURHAM-CHAPEL HILL, NC</t>
  </si>
  <si>
    <t>RICHMOND, VA</t>
  </si>
  <si>
    <t>SACRAMENTO-ROSEVILLE, CA-NV</t>
  </si>
  <si>
    <t>SAN ANTONIO-NEW BRAUNFELS-PEARSALL, TX</t>
  </si>
  <si>
    <t>SAN DIEGO-CARLSBAD, CA</t>
  </si>
  <si>
    <t>SAN JOSE-SAN FRANCISCO-OAKLAND, CA</t>
  </si>
  <si>
    <t>SEATTLE-TACOMA, WA</t>
  </si>
  <si>
    <t>ST. LOUIS-ST. CHARLES-FARMINGTON, MO-IL</t>
  </si>
  <si>
    <t>TUCSON-NOGALES, AZ</t>
  </si>
  <si>
    <t>VIRGINIA BEACH-NORFOLK, VA-NC</t>
  </si>
  <si>
    <t>WASHINGTON-BALTIMORE-ARLINGTON, DC-MD-VA-WV-PA</t>
  </si>
  <si>
    <t>STATE OF ALASKA</t>
  </si>
  <si>
    <t>STATE OF HAWAII</t>
  </si>
  <si>
    <t>REST OF UNITED STATES</t>
  </si>
  <si>
    <t>GS Level</t>
  </si>
  <si>
    <t>Row</t>
  </si>
  <si>
    <t>Column</t>
  </si>
  <si>
    <t>Intersect</t>
  </si>
  <si>
    <t>VLOOKUP</t>
  </si>
  <si>
    <t>intersect</t>
  </si>
  <si>
    <t>12 Positions</t>
  </si>
  <si>
    <t>Vehicle Working Capital Fund
$</t>
  </si>
  <si>
    <t>Supplemental
$</t>
  </si>
  <si>
    <t>Planned Cost
$</t>
  </si>
  <si>
    <t>Planned</t>
  </si>
  <si>
    <t>Budgeted</t>
  </si>
  <si>
    <t>Planned / Budgeted  Drop Down.</t>
  </si>
  <si>
    <t>Budgeted Cost
$</t>
  </si>
  <si>
    <t>Planned / Budgeted</t>
  </si>
  <si>
    <t>Hours per Pay Period</t>
  </si>
  <si>
    <t>Pay Periods per FY</t>
  </si>
  <si>
    <t>Base Hourly
w/EBCs
$</t>
  </si>
  <si>
    <t>NOTE:  When 26 Pay Periods are entered, the calculation uses 2087 annual base hours.</t>
  </si>
  <si>
    <t>Region:  xxxxxx xxxxxxxx Region</t>
  </si>
  <si>
    <t>Duty Station:  City, State</t>
  </si>
  <si>
    <t>Operations Director:  Josh Simmons</t>
  </si>
  <si>
    <t>Budget Submitted by:  xxxxxx xxxxx, Crew Superintendent</t>
  </si>
  <si>
    <t>Cost Center:  Aaxx</t>
  </si>
  <si>
    <t>Functional Area:  AF100xxxx.xxxxxx</t>
  </si>
  <si>
    <t>WBS:  AF.xxxxxxxxxx.00000</t>
  </si>
  <si>
    <t>Position Title / Series / Item / Contract / etc.</t>
  </si>
  <si>
    <t>Total Planned Funding Direct to Region / Program</t>
  </si>
  <si>
    <t>Budgeted Funding Direct to Region / Program</t>
  </si>
  <si>
    <t>Total Planned Funding Direct by DWFM</t>
  </si>
  <si>
    <t>Budgeted Funding Direct by DWFM
$</t>
  </si>
  <si>
    <t>TBD</t>
  </si>
  <si>
    <t xml:space="preserve">Base
Hourly
</t>
  </si>
  <si>
    <t>Squad Boss</t>
  </si>
  <si>
    <t>Senior Firefighter</t>
  </si>
  <si>
    <t>Superintendent</t>
  </si>
  <si>
    <t>Firefighter</t>
  </si>
  <si>
    <t>Crew Buggy #1</t>
  </si>
  <si>
    <t>Plate #:</t>
  </si>
  <si>
    <t>Crew Buggy #2</t>
  </si>
  <si>
    <t>Supt. Command Rig</t>
  </si>
  <si>
    <t xml:space="preserve">Plate #:  </t>
  </si>
  <si>
    <t>Support Vehicle</t>
  </si>
  <si>
    <t>NOTE:  Budget is based on standard organization for all IHC's</t>
  </si>
  <si>
    <t>NOTE:  Based on 90 days National Availability and 11 Pay Periods Full Crew Ready</t>
  </si>
  <si>
    <t>Assistant Superintendent</t>
  </si>
  <si>
    <t>2024 Standard RUS IHC
Program</t>
  </si>
  <si>
    <t>Fund Center:  24XA1125TR</t>
  </si>
  <si>
    <t>RENO-FERNLEY,NV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</si>
</sst>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"/>
    <numFmt numFmtId="166" formatCode="_(&quot;$&quot;* #,##0.000_);_(&quot;$&quot;* \(#,##0.000\);_(&quot;$&quot;* &quot;-&quot;??_);_(@_)"/>
    <numFmt numFmtId="167" formatCode="yyyy\-mm\-dd;@"/>
    <numFmt numFmtId="168" formatCode="_(* #,##0_);_(* \(#,##0\);_(* &quot;-&quot;??_);_(@_)"/>
  </numFmts>
  <fonts count="25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Times New Roman"/>
      <family val="1"/>
    </font>
    <font>
      <b/>
      <sz val="10"/>
      <color indexed="63"/>
      <name val="Arial"/>
      <family val="2"/>
    </font>
    <font>
      <sz val="10"/>
      <color indexed="8"/>
      <name val="MS Sans Serif"/>
      <family val="2"/>
    </font>
    <font>
      <b/>
      <sz val="10"/>
      <color indexed="63"/>
      <name val="Arial Black"/>
      <family val="2"/>
    </font>
    <font>
      <b/>
      <sz val="11"/>
      <color indexed="63"/>
      <name val="Arial Black"/>
      <family val="2"/>
    </font>
    <font>
      <b/>
      <sz val="18"/>
      <color indexed="63"/>
      <name val="Arial Black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 Black"/>
      <family val="2"/>
    </font>
    <font>
      <sz val="8"/>
      <name val="Calibri"/>
      <family val="2"/>
      <scheme val="minor"/>
    </font>
    <font>
      <b/>
      <sz val="18"/>
      <name val="Arial Black"/>
      <family val="2"/>
    </font>
    <font>
      <b/>
      <sz val="26"/>
      <color indexed="63"/>
      <name val="Arial"/>
      <family val="2"/>
    </font>
    <font>
      <b/>
      <sz val="10"/>
      <color theme="1"/>
      <name val="Arial Black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20"/>
      <name val="Arial"/>
      <family val="2"/>
    </font>
    <font>
      <b/>
      <sz val="12"/>
      <color indexed="63"/>
      <name val="Arial Black"/>
      <family val="2"/>
    </font>
    <font>
      <b/>
      <sz val="18"/>
      <color rgb="FF00B050"/>
      <name val="Arial"/>
      <family val="2"/>
    </font>
    <font>
      <b/>
      <sz val="18"/>
      <color rgb="FF00B0F0"/>
      <name val="Arial"/>
      <family val="2"/>
    </font>
    <font>
      <b/>
      <sz val="12"/>
      <name val="Arial Black"/>
      <family val="2"/>
    </font>
    <font>
      <b/>
      <sz val="12"/>
      <color theme="1"/>
      <name val="Arial Black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00B0F0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theme="4" tint="0.79998168889431442"/>
      </patternFill>
    </fill>
    <fill>
      <patternFill patternType="solid">
        <fgColor theme="9"/>
        <bgColor indexed="64"/>
      </patternFill>
    </fill>
    <fill>
      <patternFill patternType="solid">
        <fgColor rgb="FF00B050"/>
      </patternFill>
    </fill>
    <fill>
      <patternFill patternType="solid">
        <fgColor rgb="FFFFFF00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</fills>
  <borders count="57">
    <border>
      <left/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4" tint="0.39994506668294322"/>
      </right>
      <top style="medium">
        <color indexed="64"/>
      </top>
      <bottom style="medium">
        <color indexed="64"/>
      </bottom>
      <diagonal/>
    </border>
    <border>
      <left/>
      <right style="thin">
        <color theme="4" tint="0.39994506668294322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4" tint="0.39994506668294322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theme="4" tint="0.39994506668294322"/>
      </right>
      <top style="medium">
        <color indexed="64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medium">
        <color indexed="64"/>
      </top>
      <bottom/>
      <diagonal/>
    </border>
    <border>
      <left style="thin">
        <color theme="4" tint="0.39994506668294322"/>
      </left>
      <right/>
      <top style="medium">
        <color indexed="64"/>
      </top>
      <bottom/>
      <diagonal/>
    </border>
    <border>
      <left style="thin">
        <color theme="4" tint="0.39994506668294322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4" tint="0.39994506668294322"/>
      </right>
      <top/>
      <bottom style="medium">
        <color indexed="64"/>
      </bottom>
      <diagonal/>
    </border>
    <border>
      <left style="thin">
        <color theme="4" tint="0.39994506668294322"/>
      </left>
      <right style="thin">
        <color theme="4" tint="0.39994506668294322"/>
      </right>
      <top/>
      <bottom style="medium">
        <color indexed="64"/>
      </bottom>
      <diagonal/>
    </border>
    <border>
      <left style="thin">
        <color theme="4" tint="0.39994506668294322"/>
      </left>
      <right/>
      <top/>
      <bottom style="medium">
        <color indexed="64"/>
      </bottom>
      <diagonal/>
    </border>
    <border>
      <left style="thin">
        <color theme="4" tint="0.3999450666829432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1">
    <xf numFmtId="0" fontId="0" fillId="0" borderId="0"/>
    <xf numFmtId="44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9">
    <xf numFmtId="0" fontId="0" fillId="0" borderId="0" xfId="0"/>
    <xf numFmtId="0" fontId="10" fillId="0" borderId="1" xfId="1" quotePrefix="1" applyNumberFormat="1" applyFont="1" applyFill="1" applyBorder="1" applyAlignment="1" applyProtection="1">
      <alignment horizontal="center" vertical="center" shrinkToFit="1"/>
      <protection locked="0"/>
    </xf>
    <xf numFmtId="44" fontId="10" fillId="0" borderId="1" xfId="1" applyFont="1" applyFill="1" applyBorder="1" applyAlignment="1" applyProtection="1">
      <alignment horizontal="center" vertical="center" wrapText="1" shrinkToFit="1"/>
      <protection locked="0"/>
    </xf>
    <xf numFmtId="1" fontId="10" fillId="0" borderId="1" xfId="1" applyNumberFormat="1" applyFont="1" applyFill="1" applyBorder="1" applyAlignment="1" applyProtection="1">
      <alignment horizontal="center" vertical="center" wrapText="1" shrinkToFit="1"/>
      <protection locked="0"/>
    </xf>
    <xf numFmtId="44" fontId="11" fillId="0" borderId="21" xfId="1" applyFont="1" applyFill="1" applyBorder="1" applyAlignment="1" applyProtection="1">
      <alignment vertical="center" wrapText="1" shrinkToFit="1"/>
      <protection locked="0"/>
    </xf>
    <xf numFmtId="9" fontId="11" fillId="0" borderId="0" xfId="7" applyFont="1" applyFill="1" applyBorder="1" applyAlignment="1" applyProtection="1">
      <alignment horizontal="center" vertical="center" wrapText="1"/>
      <protection locked="0"/>
    </xf>
    <xf numFmtId="0" fontId="10" fillId="0" borderId="1" xfId="1" applyNumberFormat="1" applyFont="1" applyFill="1" applyBorder="1" applyAlignment="1" applyProtection="1">
      <alignment horizontal="center" vertical="center" shrinkToFit="1"/>
      <protection locked="0"/>
    </xf>
    <xf numFmtId="43" fontId="10" fillId="0" borderId="2" xfId="1" applyNumberFormat="1" applyFont="1" applyFill="1" applyBorder="1" applyAlignment="1" applyProtection="1">
      <alignment horizontal="right" vertical="center" wrapText="1"/>
      <protection locked="0"/>
    </xf>
    <xf numFmtId="43" fontId="10" fillId="0" borderId="3" xfId="1" applyNumberFormat="1" applyFont="1" applyFill="1" applyBorder="1" applyAlignment="1" applyProtection="1">
      <alignment horizontal="left" vertical="top" wrapText="1"/>
      <protection locked="0"/>
    </xf>
    <xf numFmtId="43" fontId="10" fillId="0" borderId="2" xfId="1" applyNumberFormat="1" applyFont="1" applyFill="1" applyBorder="1" applyAlignment="1" applyProtection="1">
      <alignment vertical="center" wrapText="1"/>
      <protection locked="0"/>
    </xf>
    <xf numFmtId="1" fontId="10" fillId="0" borderId="0" xfId="1" applyNumberFormat="1" applyFont="1" applyFill="1" applyBorder="1" applyAlignment="1" applyProtection="1">
      <alignment horizontal="center" vertical="center" wrapText="1" shrinkToFit="1"/>
      <protection locked="0"/>
    </xf>
    <xf numFmtId="167" fontId="10" fillId="0" borderId="1" xfId="1" applyNumberFormat="1" applyFont="1" applyFill="1" applyBorder="1" applyAlignment="1" applyProtection="1">
      <alignment horizontal="center" vertical="center" wrapText="1" shrinkToFit="1"/>
      <protection locked="0"/>
    </xf>
    <xf numFmtId="41" fontId="7" fillId="5" borderId="9" xfId="1" applyNumberFormat="1" applyFont="1" applyFill="1" applyBorder="1" applyAlignment="1" applyProtection="1">
      <alignment horizontal="right" vertical="center" wrapText="1"/>
    </xf>
    <xf numFmtId="41" fontId="7" fillId="5" borderId="4" xfId="1" applyNumberFormat="1" applyFont="1" applyFill="1" applyBorder="1" applyAlignment="1" applyProtection="1">
      <alignment horizontal="right" vertical="center" wrapText="1"/>
    </xf>
    <xf numFmtId="41" fontId="16" fillId="7" borderId="4" xfId="1" applyNumberFormat="1" applyFont="1" applyFill="1" applyBorder="1" applyAlignment="1" applyProtection="1">
      <alignment vertical="center" wrapText="1"/>
    </xf>
    <xf numFmtId="41" fontId="7" fillId="5" borderId="4" xfId="1" applyNumberFormat="1" applyFont="1" applyFill="1" applyBorder="1" applyAlignment="1" applyProtection="1">
      <alignment vertical="center" wrapText="1" shrinkToFit="1"/>
    </xf>
    <xf numFmtId="44" fontId="15" fillId="0" borderId="0" xfId="1" applyFont="1" applyBorder="1" applyAlignment="1" applyProtection="1">
      <alignment horizontal="left" vertical="center" wrapText="1"/>
    </xf>
    <xf numFmtId="164" fontId="11" fillId="0" borderId="0" xfId="1" applyNumberFormat="1" applyFont="1" applyAlignment="1" applyProtection="1">
      <alignment vertical="center" wrapText="1"/>
    </xf>
    <xf numFmtId="44" fontId="11" fillId="0" borderId="0" xfId="1" applyFont="1" applyAlignment="1" applyProtection="1">
      <alignment vertical="center" wrapText="1"/>
    </xf>
    <xf numFmtId="44" fontId="5" fillId="0" borderId="0" xfId="1" applyFont="1" applyBorder="1" applyAlignment="1" applyProtection="1">
      <alignment horizontal="left" vertical="center" wrapText="1"/>
    </xf>
    <xf numFmtId="164" fontId="5" fillId="0" borderId="0" xfId="1" applyNumberFormat="1" applyFont="1" applyBorder="1" applyAlignment="1" applyProtection="1">
      <alignment horizontal="left" vertical="center" wrapText="1"/>
    </xf>
    <xf numFmtId="164" fontId="5" fillId="0" borderId="0" xfId="1" applyNumberFormat="1" applyFont="1" applyBorder="1" applyAlignment="1" applyProtection="1">
      <alignment vertical="center" wrapText="1"/>
    </xf>
    <xf numFmtId="164" fontId="5" fillId="2" borderId="0" xfId="1" applyNumberFormat="1" applyFont="1" applyFill="1" applyBorder="1" applyAlignment="1" applyProtection="1">
      <alignment vertical="center" wrapText="1"/>
    </xf>
    <xf numFmtId="164" fontId="5" fillId="2" borderId="0" xfId="1" applyNumberFormat="1" applyFont="1" applyFill="1" applyBorder="1" applyAlignment="1" applyProtection="1">
      <alignment horizontal="left" vertical="center" wrapText="1"/>
    </xf>
    <xf numFmtId="44" fontId="8" fillId="6" borderId="0" xfId="1" applyFont="1" applyFill="1" applyBorder="1" applyAlignment="1" applyProtection="1">
      <alignment vertical="center" wrapText="1" shrinkToFit="1"/>
    </xf>
    <xf numFmtId="164" fontId="12" fillId="18" borderId="0" xfId="1" applyNumberFormat="1" applyFont="1" applyFill="1" applyBorder="1" applyAlignment="1" applyProtection="1">
      <alignment horizontal="center" vertical="center" wrapText="1"/>
    </xf>
    <xf numFmtId="164" fontId="23" fillId="10" borderId="36" xfId="1" applyNumberFormat="1" applyFont="1" applyFill="1" applyBorder="1" applyAlignment="1" applyProtection="1">
      <alignment horizontal="center" vertical="center" wrapText="1"/>
    </xf>
    <xf numFmtId="164" fontId="23" fillId="10" borderId="37" xfId="1" applyNumberFormat="1" applyFont="1" applyFill="1" applyBorder="1" applyAlignment="1" applyProtection="1">
      <alignment horizontal="center" vertical="center" wrapText="1"/>
    </xf>
    <xf numFmtId="44" fontId="16" fillId="0" borderId="0" xfId="1" applyFont="1" applyAlignment="1" applyProtection="1">
      <alignment vertical="center" wrapText="1"/>
    </xf>
    <xf numFmtId="164" fontId="23" fillId="8" borderId="26" xfId="1" applyNumberFormat="1" applyFont="1" applyFill="1" applyBorder="1" applyAlignment="1" applyProtection="1">
      <alignment horizontal="center" vertical="center" wrapText="1"/>
    </xf>
    <xf numFmtId="44" fontId="9" fillId="5" borderId="21" xfId="1" applyFont="1" applyFill="1" applyBorder="1" applyAlignment="1" applyProtection="1">
      <alignment vertical="center" wrapText="1" shrinkToFit="1"/>
    </xf>
    <xf numFmtId="41" fontId="20" fillId="11" borderId="7" xfId="1" applyNumberFormat="1" applyFont="1" applyFill="1" applyBorder="1" applyAlignment="1" applyProtection="1">
      <alignment horizontal="right" vertical="center" wrapText="1" shrinkToFit="1"/>
    </xf>
    <xf numFmtId="41" fontId="20" fillId="11" borderId="8" xfId="1" applyNumberFormat="1" applyFont="1" applyFill="1" applyBorder="1" applyAlignment="1" applyProtection="1">
      <alignment horizontal="right" vertical="center" wrapText="1" shrinkToFit="1"/>
    </xf>
    <xf numFmtId="41" fontId="20" fillId="11" borderId="23" xfId="1" applyNumberFormat="1" applyFont="1" applyFill="1" applyBorder="1" applyAlignment="1" applyProtection="1">
      <alignment horizontal="right" vertical="center" wrapText="1" shrinkToFit="1"/>
    </xf>
    <xf numFmtId="41" fontId="20" fillId="3" borderId="26" xfId="1" applyNumberFormat="1" applyFont="1" applyFill="1" applyBorder="1" applyAlignment="1" applyProtection="1">
      <alignment horizontal="right" vertical="center" wrapText="1" shrinkToFit="1"/>
    </xf>
    <xf numFmtId="41" fontId="24" fillId="15" borderId="26" xfId="1" applyNumberFormat="1" applyFont="1" applyFill="1" applyBorder="1" applyAlignment="1" applyProtection="1">
      <alignment vertical="center" wrapText="1"/>
    </xf>
    <xf numFmtId="41" fontId="7" fillId="3" borderId="26" xfId="1" applyNumberFormat="1" applyFont="1" applyFill="1" applyBorder="1" applyAlignment="1" applyProtection="1">
      <alignment horizontal="right" vertical="center" wrapText="1" shrinkToFit="1"/>
    </xf>
    <xf numFmtId="164" fontId="7" fillId="6" borderId="0" xfId="1" applyNumberFormat="1" applyFont="1" applyFill="1" applyBorder="1" applyAlignment="1" applyProtection="1">
      <alignment vertical="center" wrapText="1"/>
    </xf>
    <xf numFmtId="44" fontId="7" fillId="6" borderId="0" xfId="1" applyFont="1" applyFill="1" applyBorder="1" applyAlignment="1" applyProtection="1">
      <alignment horizontal="left" vertical="top" wrapText="1"/>
    </xf>
    <xf numFmtId="0" fontId="7" fillId="6" borderId="0" xfId="1" applyNumberFormat="1" applyFont="1" applyFill="1" applyBorder="1" applyAlignment="1" applyProtection="1">
      <alignment horizontal="center" vertical="center" wrapText="1"/>
    </xf>
    <xf numFmtId="164" fontId="11" fillId="6" borderId="0" xfId="1" applyNumberFormat="1" applyFont="1" applyFill="1" applyAlignment="1" applyProtection="1">
      <alignment vertical="center" wrapText="1"/>
    </xf>
    <xf numFmtId="44" fontId="11" fillId="6" borderId="0" xfId="1" applyFont="1" applyFill="1" applyAlignment="1" applyProtection="1">
      <alignment vertical="center" wrapText="1"/>
    </xf>
    <xf numFmtId="44" fontId="23" fillId="12" borderId="35" xfId="1" applyFont="1" applyFill="1" applyBorder="1" applyAlignment="1" applyProtection="1">
      <alignment horizontal="center" vertical="center" wrapText="1"/>
    </xf>
    <xf numFmtId="44" fontId="23" fillId="12" borderId="18" xfId="1" applyFont="1" applyFill="1" applyBorder="1" applyAlignment="1" applyProtection="1">
      <alignment horizontal="center" vertical="center" wrapText="1"/>
    </xf>
    <xf numFmtId="164" fontId="23" fillId="12" borderId="18" xfId="1" applyNumberFormat="1" applyFont="1" applyFill="1" applyBorder="1" applyAlignment="1" applyProtection="1">
      <alignment horizontal="center" vertical="center" wrapText="1"/>
    </xf>
    <xf numFmtId="164" fontId="23" fillId="13" borderId="18" xfId="1" applyNumberFormat="1" applyFont="1" applyFill="1" applyBorder="1" applyAlignment="1" applyProtection="1">
      <alignment horizontal="center" vertical="center" wrapText="1"/>
    </xf>
    <xf numFmtId="0" fontId="23" fillId="13" borderId="18" xfId="1" applyNumberFormat="1" applyFont="1" applyFill="1" applyBorder="1" applyAlignment="1" applyProtection="1">
      <alignment horizontal="center" vertical="center" wrapText="1"/>
    </xf>
    <xf numFmtId="0" fontId="23" fillId="11" borderId="18" xfId="1" applyNumberFormat="1" applyFont="1" applyFill="1" applyBorder="1" applyAlignment="1" applyProtection="1">
      <alignment horizontal="center" vertical="center" wrapText="1"/>
    </xf>
    <xf numFmtId="0" fontId="23" fillId="0" borderId="18" xfId="1" applyNumberFormat="1" applyFont="1" applyFill="1" applyBorder="1" applyAlignment="1" applyProtection="1">
      <alignment horizontal="center" vertical="center" wrapText="1"/>
    </xf>
    <xf numFmtId="0" fontId="23" fillId="0" borderId="19" xfId="1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center" wrapText="1"/>
    </xf>
    <xf numFmtId="43" fontId="17" fillId="11" borderId="33" xfId="1" applyNumberFormat="1" applyFont="1" applyFill="1" applyBorder="1" applyAlignment="1" applyProtection="1">
      <alignment vertical="center" wrapText="1"/>
    </xf>
    <xf numFmtId="43" fontId="17" fillId="15" borderId="33" xfId="1" applyNumberFormat="1" applyFont="1" applyFill="1" applyBorder="1" applyAlignment="1" applyProtection="1">
      <alignment vertical="center" wrapText="1"/>
    </xf>
    <xf numFmtId="43" fontId="17" fillId="15" borderId="34" xfId="1" applyNumberFormat="1" applyFont="1" applyFill="1" applyBorder="1" applyAlignment="1" applyProtection="1">
      <alignment vertical="center" wrapText="1"/>
    </xf>
    <xf numFmtId="0" fontId="11" fillId="0" borderId="0" xfId="0" applyFont="1" applyAlignment="1">
      <alignment vertical="center" wrapText="1"/>
    </xf>
    <xf numFmtId="0" fontId="18" fillId="0" borderId="0" xfId="0" applyFont="1" applyAlignment="1">
      <alignment vertical="center" wrapText="1" shrinkToFit="1"/>
    </xf>
    <xf numFmtId="166" fontId="0" fillId="0" borderId="0" xfId="1" applyNumberFormat="1" applyFont="1" applyProtection="1"/>
    <xf numFmtId="2" fontId="0" fillId="0" borderId="0" xfId="0" applyNumberFormat="1"/>
    <xf numFmtId="1" fontId="0" fillId="0" borderId="0" xfId="1" applyNumberFormat="1" applyFont="1" applyProtection="1"/>
    <xf numFmtId="44" fontId="0" fillId="0" borderId="0" xfId="1" applyFont="1" applyProtection="1"/>
    <xf numFmtId="0" fontId="0" fillId="0" borderId="0" xfId="0" applyAlignment="1">
      <alignment shrinkToFit="1"/>
    </xf>
    <xf numFmtId="10" fontId="0" fillId="0" borderId="0" xfId="0" applyNumberFormat="1" applyAlignment="1">
      <alignment horizontal="right" vertical="center"/>
    </xf>
    <xf numFmtId="165" fontId="0" fillId="0" borderId="0" xfId="7" applyNumberFormat="1" applyFont="1" applyAlignment="1" applyProtection="1">
      <alignment horizontal="right" vertical="center"/>
    </xf>
    <xf numFmtId="165" fontId="0" fillId="0" borderId="0" xfId="0" applyNumberFormat="1" applyAlignment="1">
      <alignment horizontal="right" vertical="center"/>
    </xf>
    <xf numFmtId="165" fontId="0" fillId="0" borderId="0" xfId="0" applyNumberFormat="1"/>
    <xf numFmtId="43" fontId="0" fillId="0" borderId="0" xfId="0" applyNumberFormat="1"/>
    <xf numFmtId="44" fontId="8" fillId="20" borderId="21" xfId="1" applyFont="1" applyFill="1" applyBorder="1" applyAlignment="1" applyProtection="1">
      <alignment vertical="center" wrapText="1" shrinkToFit="1"/>
      <protection locked="0"/>
    </xf>
    <xf numFmtId="43" fontId="10" fillId="0" borderId="1" xfId="1" applyNumberFormat="1" applyFont="1" applyFill="1" applyBorder="1" applyAlignment="1" applyProtection="1">
      <alignment horizontal="right" vertical="center" wrapText="1"/>
      <protection locked="0"/>
    </xf>
    <xf numFmtId="1" fontId="10" fillId="0" borderId="25" xfId="1" applyNumberFormat="1" applyFont="1" applyFill="1" applyBorder="1" applyAlignment="1" applyProtection="1">
      <alignment horizontal="center" vertical="center" wrapText="1" shrinkToFit="1"/>
      <protection locked="0"/>
    </xf>
    <xf numFmtId="44" fontId="19" fillId="15" borderId="21" xfId="1" applyFont="1" applyFill="1" applyBorder="1" applyAlignment="1" applyProtection="1">
      <alignment horizontal="center" vertical="center" wrapText="1" shrinkToFit="1"/>
    </xf>
    <xf numFmtId="44" fontId="17" fillId="15" borderId="0" xfId="1" applyFont="1" applyFill="1" applyBorder="1" applyAlignment="1" applyProtection="1">
      <alignment vertical="center" wrapText="1" shrinkToFit="1"/>
    </xf>
    <xf numFmtId="0" fontId="17" fillId="15" borderId="0" xfId="1" applyNumberFormat="1" applyFont="1" applyFill="1" applyBorder="1" applyAlignment="1" applyProtection="1">
      <alignment vertical="center" wrapText="1" shrinkToFit="1"/>
    </xf>
    <xf numFmtId="164" fontId="17" fillId="15" borderId="0" xfId="1" applyNumberFormat="1" applyFont="1" applyFill="1" applyBorder="1" applyAlignment="1" applyProtection="1">
      <alignment vertical="center" wrapText="1" shrinkToFit="1"/>
    </xf>
    <xf numFmtId="164" fontId="17" fillId="15" borderId="0" xfId="1" applyNumberFormat="1" applyFont="1" applyFill="1" applyBorder="1" applyAlignment="1" applyProtection="1">
      <alignment vertical="center" wrapText="1"/>
    </xf>
    <xf numFmtId="43" fontId="17" fillId="13" borderId="40" xfId="1" applyNumberFormat="1" applyFont="1" applyFill="1" applyBorder="1" applyAlignment="1" applyProtection="1">
      <alignment vertical="center" wrapText="1"/>
    </xf>
    <xf numFmtId="44" fontId="10" fillId="0" borderId="0" xfId="1" applyFont="1" applyFill="1" applyBorder="1" applyAlignment="1" applyProtection="1">
      <alignment horizontal="center" vertical="center" wrapText="1" shrinkToFit="1"/>
      <protection locked="0"/>
    </xf>
    <xf numFmtId="0" fontId="10" fillId="0" borderId="0" xfId="1" applyNumberFormat="1" applyFont="1" applyFill="1" applyBorder="1" applyAlignment="1" applyProtection="1">
      <alignment horizontal="center" vertical="center" shrinkToFit="1"/>
      <protection locked="0"/>
    </xf>
    <xf numFmtId="0" fontId="10" fillId="0" borderId="0" xfId="1" quotePrefix="1" applyNumberFormat="1" applyFont="1" applyFill="1" applyBorder="1" applyAlignment="1" applyProtection="1">
      <alignment horizontal="center" vertical="center" shrinkToFit="1"/>
      <protection locked="0"/>
    </xf>
    <xf numFmtId="167" fontId="10" fillId="0" borderId="0" xfId="1" applyNumberFormat="1" applyFont="1" applyFill="1" applyBorder="1" applyAlignment="1" applyProtection="1">
      <alignment horizontal="center" vertical="center" wrapText="1" shrinkToFit="1"/>
      <protection locked="0"/>
    </xf>
    <xf numFmtId="9" fontId="10" fillId="0" borderId="0" xfId="7" applyFont="1" applyFill="1" applyBorder="1" applyAlignment="1" applyProtection="1">
      <alignment horizontal="center" vertical="center" wrapText="1" shrinkToFit="1"/>
      <protection locked="0"/>
    </xf>
    <xf numFmtId="43" fontId="10" fillId="0" borderId="0" xfId="1" applyNumberFormat="1" applyFont="1" applyFill="1" applyBorder="1" applyAlignment="1" applyProtection="1">
      <alignment horizontal="right" vertical="center" wrapText="1"/>
    </xf>
    <xf numFmtId="1" fontId="10" fillId="0" borderId="0" xfId="1" applyNumberFormat="1" applyFont="1" applyFill="1" applyBorder="1" applyAlignment="1" applyProtection="1">
      <alignment horizontal="center" vertical="center" wrapText="1"/>
      <protection locked="0"/>
    </xf>
    <xf numFmtId="16" fontId="10" fillId="0" borderId="0" xfId="1" quotePrefix="1" applyNumberFormat="1" applyFont="1" applyFill="1" applyBorder="1" applyAlignment="1" applyProtection="1">
      <alignment horizontal="center" vertical="center" shrinkToFit="1"/>
      <protection locked="0"/>
    </xf>
    <xf numFmtId="44" fontId="10" fillId="0" borderId="32" xfId="1" applyFont="1" applyFill="1" applyBorder="1" applyAlignment="1" applyProtection="1">
      <alignment vertical="center" wrapText="1" shrinkToFit="1"/>
      <protection locked="0"/>
    </xf>
    <xf numFmtId="44" fontId="10" fillId="0" borderId="41" xfId="1" applyFont="1" applyFill="1" applyBorder="1" applyAlignment="1" applyProtection="1">
      <alignment horizontal="center" vertical="center" wrapText="1" shrinkToFit="1"/>
      <protection locked="0"/>
    </xf>
    <xf numFmtId="0" fontId="10" fillId="0" borderId="41" xfId="1" applyNumberFormat="1" applyFont="1" applyFill="1" applyBorder="1" applyAlignment="1" applyProtection="1">
      <alignment horizontal="center" vertical="center" shrinkToFit="1"/>
      <protection locked="0"/>
    </xf>
    <xf numFmtId="0" fontId="10" fillId="0" borderId="41" xfId="1" quotePrefix="1" applyNumberFormat="1" applyFont="1" applyFill="1" applyBorder="1" applyAlignment="1" applyProtection="1">
      <alignment horizontal="center" vertical="center" shrinkToFit="1"/>
      <protection locked="0"/>
    </xf>
    <xf numFmtId="167" fontId="10" fillId="0" borderId="41" xfId="1" applyNumberFormat="1" applyFont="1" applyFill="1" applyBorder="1" applyAlignment="1" applyProtection="1">
      <alignment horizontal="center" vertical="center" wrapText="1" shrinkToFit="1"/>
      <protection locked="0"/>
    </xf>
    <xf numFmtId="1" fontId="10" fillId="0" borderId="41" xfId="1" applyNumberFormat="1" applyFont="1" applyFill="1" applyBorder="1" applyAlignment="1" applyProtection="1">
      <alignment horizontal="center" vertical="center" wrapText="1" shrinkToFit="1"/>
      <protection locked="0"/>
    </xf>
    <xf numFmtId="9" fontId="10" fillId="0" borderId="41" xfId="7" applyFont="1" applyFill="1" applyBorder="1" applyAlignment="1" applyProtection="1">
      <alignment horizontal="center" vertical="center" wrapText="1" shrinkToFit="1"/>
      <protection locked="0"/>
    </xf>
    <xf numFmtId="43" fontId="10" fillId="0" borderId="41" xfId="1" applyNumberFormat="1" applyFont="1" applyFill="1" applyBorder="1" applyAlignment="1" applyProtection="1">
      <alignment horizontal="right" vertical="center" wrapText="1"/>
    </xf>
    <xf numFmtId="44" fontId="10" fillId="0" borderId="21" xfId="1" applyFont="1" applyFill="1" applyBorder="1" applyAlignment="1" applyProtection="1">
      <alignment vertical="center" wrapText="1" shrinkToFit="1"/>
      <protection locked="0"/>
    </xf>
    <xf numFmtId="44" fontId="10" fillId="0" borderId="24" xfId="1" applyFont="1" applyFill="1" applyBorder="1" applyAlignment="1" applyProtection="1">
      <alignment vertical="center" wrapText="1" shrinkToFit="1"/>
      <protection locked="0"/>
    </xf>
    <xf numFmtId="44" fontId="10" fillId="0" borderId="25" xfId="1" applyFont="1" applyFill="1" applyBorder="1" applyAlignment="1" applyProtection="1">
      <alignment horizontal="center" vertical="center" wrapText="1" shrinkToFit="1"/>
      <protection locked="0"/>
    </xf>
    <xf numFmtId="0" fontId="10" fillId="0" borderId="25" xfId="1" applyNumberFormat="1" applyFont="1" applyFill="1" applyBorder="1" applyAlignment="1" applyProtection="1">
      <alignment horizontal="center" vertical="center" shrinkToFit="1"/>
      <protection locked="0"/>
    </xf>
    <xf numFmtId="0" fontId="10" fillId="0" borderId="25" xfId="1" quotePrefix="1" applyNumberFormat="1" applyFont="1" applyFill="1" applyBorder="1" applyAlignment="1" applyProtection="1">
      <alignment horizontal="center" vertical="center" shrinkToFit="1"/>
      <protection locked="0"/>
    </xf>
    <xf numFmtId="167" fontId="10" fillId="0" borderId="25" xfId="1" applyNumberFormat="1" applyFont="1" applyFill="1" applyBorder="1" applyAlignment="1" applyProtection="1">
      <alignment horizontal="center" vertical="center" wrapText="1" shrinkToFit="1"/>
      <protection locked="0"/>
    </xf>
    <xf numFmtId="9" fontId="10" fillId="0" borderId="25" xfId="7" applyFont="1" applyFill="1" applyBorder="1" applyAlignment="1" applyProtection="1">
      <alignment horizontal="center" vertical="center" wrapText="1" shrinkToFit="1"/>
      <protection locked="0"/>
    </xf>
    <xf numFmtId="43" fontId="10" fillId="0" borderId="25" xfId="1" applyNumberFormat="1" applyFont="1" applyFill="1" applyBorder="1" applyAlignment="1" applyProtection="1">
      <alignment horizontal="right" vertical="center" wrapText="1"/>
    </xf>
    <xf numFmtId="44" fontId="8" fillId="5" borderId="0" xfId="1" applyFont="1" applyFill="1" applyBorder="1" applyAlignment="1" applyProtection="1">
      <alignment vertical="center" wrapText="1" shrinkToFit="1"/>
      <protection locked="0"/>
    </xf>
    <xf numFmtId="44" fontId="9" fillId="5" borderId="0" xfId="1" applyFont="1" applyFill="1" applyBorder="1" applyAlignment="1" applyProtection="1">
      <alignment vertical="center" wrapText="1" shrinkToFit="1"/>
    </xf>
    <xf numFmtId="44" fontId="8" fillId="5" borderId="0" xfId="1" applyFont="1" applyFill="1" applyBorder="1" applyAlignment="1" applyProtection="1">
      <alignment vertical="center" wrapText="1" shrinkToFit="1"/>
    </xf>
    <xf numFmtId="44" fontId="8" fillId="5" borderId="25" xfId="1" applyFont="1" applyFill="1" applyBorder="1" applyAlignment="1" applyProtection="1">
      <alignment vertical="center" wrapText="1" shrinkToFit="1"/>
    </xf>
    <xf numFmtId="44" fontId="8" fillId="5" borderId="21" xfId="1" applyFont="1" applyFill="1" applyBorder="1" applyAlignment="1" applyProtection="1">
      <alignment vertical="center" wrapText="1" shrinkToFit="1"/>
      <protection locked="0"/>
    </xf>
    <xf numFmtId="44" fontId="7" fillId="5" borderId="6" xfId="1" applyFont="1" applyFill="1" applyBorder="1" applyAlignment="1" applyProtection="1">
      <alignment horizontal="left" vertical="top" wrapText="1"/>
      <protection locked="0"/>
    </xf>
    <xf numFmtId="44" fontId="7" fillId="5" borderId="10" xfId="1" applyFont="1" applyFill="1" applyBorder="1" applyAlignment="1" applyProtection="1">
      <alignment horizontal="left" vertical="top" wrapText="1"/>
      <protection locked="0"/>
    </xf>
    <xf numFmtId="44" fontId="7" fillId="5" borderId="13" xfId="1" applyFont="1" applyFill="1" applyBorder="1" applyAlignment="1" applyProtection="1">
      <alignment horizontal="left" vertical="top" wrapText="1"/>
      <protection locked="0"/>
    </xf>
    <xf numFmtId="44" fontId="7" fillId="5" borderId="14" xfId="1" applyFont="1" applyFill="1" applyBorder="1" applyAlignment="1" applyProtection="1">
      <alignment horizontal="left" vertical="top" wrapText="1"/>
      <protection locked="0"/>
    </xf>
    <xf numFmtId="44" fontId="7" fillId="5" borderId="27" xfId="1" applyFont="1" applyFill="1" applyBorder="1" applyAlignment="1" applyProtection="1">
      <alignment horizontal="left" vertical="top" wrapText="1"/>
      <protection locked="0"/>
    </xf>
    <xf numFmtId="0" fontId="16" fillId="19" borderId="9" xfId="1" applyNumberFormat="1" applyFont="1" applyFill="1" applyBorder="1" applyAlignment="1" applyProtection="1">
      <alignment horizontal="center" vertical="center" wrapText="1"/>
    </xf>
    <xf numFmtId="164" fontId="23" fillId="9" borderId="26" xfId="1" applyNumberFormat="1" applyFont="1" applyFill="1" applyBorder="1" applyAlignment="1" applyProtection="1">
      <alignment horizontal="center" vertical="center" wrapText="1"/>
    </xf>
    <xf numFmtId="164" fontId="23" fillId="10" borderId="38" xfId="1" applyNumberFormat="1" applyFont="1" applyFill="1" applyBorder="1" applyAlignment="1" applyProtection="1">
      <alignment horizontal="center" vertical="center" wrapText="1"/>
    </xf>
    <xf numFmtId="164" fontId="23" fillId="9" borderId="39" xfId="1" applyNumberFormat="1" applyFont="1" applyFill="1" applyBorder="1" applyAlignment="1" applyProtection="1">
      <alignment horizontal="center" vertical="center" wrapText="1"/>
    </xf>
    <xf numFmtId="164" fontId="7" fillId="5" borderId="29" xfId="1" applyNumberFormat="1" applyFont="1" applyFill="1" applyBorder="1" applyAlignment="1" applyProtection="1">
      <alignment vertical="center" wrapText="1"/>
    </xf>
    <xf numFmtId="164" fontId="7" fillId="5" borderId="27" xfId="1" applyNumberFormat="1" applyFont="1" applyFill="1" applyBorder="1" applyAlignment="1" applyProtection="1">
      <alignment vertical="center" wrapText="1"/>
    </xf>
    <xf numFmtId="0" fontId="7" fillId="5" borderId="9" xfId="1" applyNumberFormat="1" applyFont="1" applyFill="1" applyBorder="1" applyAlignment="1" applyProtection="1">
      <alignment horizontal="center" vertical="center" wrapText="1"/>
    </xf>
    <xf numFmtId="44" fontId="7" fillId="5" borderId="9" xfId="1" applyFont="1" applyFill="1" applyBorder="1" applyAlignment="1" applyProtection="1">
      <alignment horizontal="left" vertical="top" wrapText="1"/>
    </xf>
    <xf numFmtId="0" fontId="7" fillId="5" borderId="11" xfId="1" applyNumberFormat="1" applyFont="1" applyFill="1" applyBorder="1" applyAlignment="1" applyProtection="1">
      <alignment horizontal="center" vertical="center" wrapText="1"/>
    </xf>
    <xf numFmtId="44" fontId="7" fillId="5" borderId="11" xfId="1" applyFont="1" applyFill="1" applyBorder="1" applyAlignment="1" applyProtection="1">
      <alignment horizontal="left" vertical="top" wrapText="1"/>
    </xf>
    <xf numFmtId="43" fontId="17" fillId="13" borderId="33" xfId="1" applyNumberFormat="1" applyFont="1" applyFill="1" applyBorder="1" applyAlignment="1" applyProtection="1">
      <alignment vertical="center" wrapText="1"/>
    </xf>
    <xf numFmtId="43" fontId="10" fillId="0" borderId="2" xfId="1" applyNumberFormat="1" applyFont="1" applyFill="1" applyBorder="1" applyAlignment="1" applyProtection="1">
      <alignment vertical="center" wrapText="1"/>
    </xf>
    <xf numFmtId="43" fontId="10" fillId="0" borderId="20" xfId="1" applyNumberFormat="1" applyFont="1" applyFill="1" applyBorder="1" applyAlignment="1" applyProtection="1">
      <alignment vertical="center" wrapText="1"/>
    </xf>
    <xf numFmtId="44" fontId="19" fillId="15" borderId="15" xfId="0" applyNumberFormat="1" applyFont="1" applyFill="1" applyBorder="1" applyAlignment="1">
      <alignment horizontal="center" vertical="center" wrapText="1" shrinkToFit="1"/>
    </xf>
    <xf numFmtId="44" fontId="17" fillId="15" borderId="16" xfId="0" applyNumberFormat="1" applyFont="1" applyFill="1" applyBorder="1" applyAlignment="1">
      <alignment vertical="center" wrapText="1" shrinkToFit="1"/>
    </xf>
    <xf numFmtId="164" fontId="18" fillId="15" borderId="17" xfId="0" applyNumberFormat="1" applyFont="1" applyFill="1" applyBorder="1" applyAlignment="1">
      <alignment vertical="center" wrapText="1" shrinkToFit="1"/>
    </xf>
    <xf numFmtId="44" fontId="18" fillId="15" borderId="17" xfId="0" applyNumberFormat="1" applyFont="1" applyFill="1" applyBorder="1" applyAlignment="1">
      <alignment vertical="center" wrapText="1" shrinkToFit="1"/>
    </xf>
    <xf numFmtId="43" fontId="17" fillId="13" borderId="18" xfId="0" applyNumberFormat="1" applyFont="1" applyFill="1" applyBorder="1" applyAlignment="1">
      <alignment vertical="center" wrapText="1"/>
    </xf>
    <xf numFmtId="43" fontId="17" fillId="11" borderId="18" xfId="0" applyNumberFormat="1" applyFont="1" applyFill="1" applyBorder="1" applyAlignment="1">
      <alignment vertical="center" wrapText="1"/>
    </xf>
    <xf numFmtId="43" fontId="17" fillId="15" borderId="18" xfId="0" applyNumberFormat="1" applyFont="1" applyFill="1" applyBorder="1" applyAlignment="1">
      <alignment vertical="center" wrapText="1"/>
    </xf>
    <xf numFmtId="44" fontId="7" fillId="5" borderId="5" xfId="1" applyFont="1" applyFill="1" applyBorder="1" applyAlignment="1" applyProtection="1">
      <alignment horizontal="left" vertical="top"/>
      <protection locked="0"/>
    </xf>
    <xf numFmtId="44" fontId="7" fillId="5" borderId="12" xfId="1" applyFont="1" applyFill="1" applyBorder="1" applyAlignment="1" applyProtection="1">
      <alignment horizontal="left" vertical="top"/>
      <protection locked="0"/>
    </xf>
    <xf numFmtId="44" fontId="7" fillId="5" borderId="6" xfId="1" applyFont="1" applyFill="1" applyBorder="1" applyAlignment="1" applyProtection="1">
      <alignment horizontal="left" vertical="top"/>
      <protection locked="0"/>
    </xf>
    <xf numFmtId="44" fontId="7" fillId="5" borderId="13" xfId="1" applyFont="1" applyFill="1" applyBorder="1" applyAlignment="1" applyProtection="1">
      <alignment horizontal="left" vertical="top"/>
      <protection locked="0"/>
    </xf>
    <xf numFmtId="43" fontId="10" fillId="0" borderId="20" xfId="1" applyNumberFormat="1" applyFont="1" applyFill="1" applyBorder="1" applyAlignment="1" applyProtection="1">
      <alignment vertical="center" wrapText="1"/>
      <protection locked="0"/>
    </xf>
    <xf numFmtId="43" fontId="10" fillId="0" borderId="47" xfId="1" applyNumberFormat="1" applyFont="1" applyFill="1" applyBorder="1" applyAlignment="1" applyProtection="1">
      <alignment vertical="center" wrapText="1"/>
      <protection locked="0"/>
    </xf>
    <xf numFmtId="43" fontId="10" fillId="0" borderId="49" xfId="1" applyNumberFormat="1" applyFont="1" applyFill="1" applyBorder="1" applyAlignment="1" applyProtection="1">
      <alignment vertical="center" wrapText="1"/>
      <protection locked="0"/>
    </xf>
    <xf numFmtId="44" fontId="8" fillId="5" borderId="24" xfId="1" applyFont="1" applyFill="1" applyBorder="1" applyAlignment="1" applyProtection="1">
      <alignment vertical="center" wrapText="1" shrinkToFit="1"/>
      <protection locked="0"/>
    </xf>
    <xf numFmtId="43" fontId="10" fillId="0" borderId="42" xfId="1" applyNumberFormat="1" applyFont="1" applyFill="1" applyBorder="1" applyAlignment="1" applyProtection="1">
      <alignment horizontal="right" vertical="center" wrapText="1" shrinkToFit="1"/>
      <protection locked="0"/>
    </xf>
    <xf numFmtId="43" fontId="10" fillId="0" borderId="44" xfId="1" applyNumberFormat="1" applyFont="1" applyFill="1" applyBorder="1" applyAlignment="1" applyProtection="1">
      <alignment horizontal="left" vertical="top" wrapText="1"/>
      <protection locked="0"/>
    </xf>
    <xf numFmtId="43" fontId="10" fillId="0" borderId="43" xfId="1" applyNumberFormat="1" applyFont="1" applyFill="1" applyBorder="1" applyAlignment="1" applyProtection="1">
      <alignment vertical="center" wrapText="1"/>
      <protection locked="0"/>
    </xf>
    <xf numFmtId="43" fontId="10" fillId="0" borderId="45" xfId="1" applyNumberFormat="1" applyFont="1" applyFill="1" applyBorder="1" applyAlignment="1" applyProtection="1">
      <alignment vertical="center" wrapText="1"/>
      <protection locked="0"/>
    </xf>
    <xf numFmtId="43" fontId="10" fillId="0" borderId="48" xfId="1" applyNumberFormat="1" applyFont="1" applyFill="1" applyBorder="1" applyAlignment="1" applyProtection="1">
      <alignment horizontal="left" vertical="top" wrapText="1"/>
      <protection locked="0"/>
    </xf>
    <xf numFmtId="10" fontId="0" fillId="0" borderId="0" xfId="7" applyNumberFormat="1" applyFont="1" applyProtection="1"/>
    <xf numFmtId="44" fontId="0" fillId="0" borderId="0" xfId="0" applyNumberFormat="1"/>
    <xf numFmtId="41" fontId="7" fillId="5" borderId="50" xfId="1" applyNumberFormat="1" applyFont="1" applyFill="1" applyBorder="1" applyAlignment="1" applyProtection="1">
      <alignment vertical="center" wrapText="1"/>
    </xf>
    <xf numFmtId="41" fontId="7" fillId="5" borderId="51" xfId="1" applyNumberFormat="1" applyFont="1" applyFill="1" applyBorder="1" applyAlignment="1" applyProtection="1">
      <alignment vertical="center" wrapText="1"/>
    </xf>
    <xf numFmtId="41" fontId="7" fillId="5" borderId="51" xfId="1" applyNumberFormat="1" applyFont="1" applyFill="1" applyBorder="1" applyAlignment="1" applyProtection="1">
      <alignment horizontal="right" vertical="center" wrapText="1"/>
    </xf>
    <xf numFmtId="41" fontId="7" fillId="3" borderId="39" xfId="1" applyNumberFormat="1" applyFont="1" applyFill="1" applyBorder="1" applyAlignment="1" applyProtection="1">
      <alignment horizontal="right" vertical="center" wrapText="1" shrinkToFit="1"/>
    </xf>
    <xf numFmtId="164" fontId="7" fillId="5" borderId="7" xfId="1" applyNumberFormat="1" applyFont="1" applyFill="1" applyBorder="1" applyAlignment="1" applyProtection="1">
      <alignment vertical="center" wrapText="1"/>
    </xf>
    <xf numFmtId="164" fontId="7" fillId="5" borderId="30" xfId="1" applyNumberFormat="1" applyFont="1" applyFill="1" applyBorder="1" applyAlignment="1" applyProtection="1">
      <alignment vertical="center" wrapText="1"/>
    </xf>
    <xf numFmtId="164" fontId="7" fillId="5" borderId="52" xfId="1" applyNumberFormat="1" applyFont="1" applyFill="1" applyBorder="1" applyAlignment="1" applyProtection="1">
      <alignment vertical="center" wrapText="1"/>
    </xf>
    <xf numFmtId="168" fontId="20" fillId="17" borderId="54" xfId="1" applyNumberFormat="1" applyFont="1" applyFill="1" applyBorder="1" applyAlignment="1" applyProtection="1">
      <alignment horizontal="right" vertical="center" wrapText="1" shrinkToFit="1"/>
    </xf>
    <xf numFmtId="44" fontId="14" fillId="8" borderId="35" xfId="1" applyFont="1" applyFill="1" applyBorder="1" applyAlignment="1" applyProtection="1">
      <alignment horizontal="center" vertical="center" wrapText="1"/>
    </xf>
    <xf numFmtId="164" fontId="23" fillId="14" borderId="18" xfId="1" applyNumberFormat="1" applyFont="1" applyFill="1" applyBorder="1" applyAlignment="1" applyProtection="1">
      <alignment horizontal="center" vertical="center" wrapText="1"/>
    </xf>
    <xf numFmtId="164" fontId="23" fillId="14" borderId="55" xfId="1" applyNumberFormat="1" applyFont="1" applyFill="1" applyBorder="1" applyAlignment="1" applyProtection="1">
      <alignment horizontal="center" vertical="center" wrapText="1"/>
    </xf>
    <xf numFmtId="164" fontId="23" fillId="14" borderId="17" xfId="1" applyNumberFormat="1" applyFont="1" applyFill="1" applyBorder="1" applyAlignment="1" applyProtection="1">
      <alignment horizontal="center" vertical="center" wrapText="1"/>
    </xf>
    <xf numFmtId="0" fontId="7" fillId="5" borderId="53" xfId="1" applyNumberFormat="1" applyFont="1" applyFill="1" applyBorder="1" applyAlignment="1" applyProtection="1">
      <alignment horizontal="center" vertical="center" wrapText="1"/>
    </xf>
    <xf numFmtId="0" fontId="16" fillId="19" borderId="7" xfId="1" applyNumberFormat="1" applyFont="1" applyFill="1" applyBorder="1" applyAlignment="1" applyProtection="1">
      <alignment horizontal="center" vertical="center" wrapText="1"/>
    </xf>
    <xf numFmtId="168" fontId="20" fillId="13" borderId="8" xfId="1" applyNumberFormat="1" applyFont="1" applyFill="1" applyBorder="1" applyAlignment="1" applyProtection="1">
      <alignment horizontal="right" vertical="center" wrapText="1" shrinkToFit="1"/>
    </xf>
    <xf numFmtId="168" fontId="20" fillId="13" borderId="23" xfId="1" applyNumberFormat="1" applyFont="1" applyFill="1" applyBorder="1" applyAlignment="1" applyProtection="1">
      <alignment horizontal="right" vertical="center" wrapText="1" shrinkToFit="1"/>
    </xf>
    <xf numFmtId="168" fontId="20" fillId="16" borderId="8" xfId="1" applyNumberFormat="1" applyFont="1" applyFill="1" applyBorder="1" applyAlignment="1" applyProtection="1">
      <alignment horizontal="right" vertical="center" wrapText="1" shrinkToFit="1"/>
    </xf>
    <xf numFmtId="168" fontId="20" fillId="16" borderId="52" xfId="1" applyNumberFormat="1" applyFont="1" applyFill="1" applyBorder="1" applyAlignment="1" applyProtection="1">
      <alignment horizontal="right" vertical="center" wrapText="1" shrinkToFit="1"/>
    </xf>
    <xf numFmtId="0" fontId="16" fillId="19" borderId="11" xfId="1" applyNumberFormat="1" applyFont="1" applyFill="1" applyBorder="1" applyAlignment="1" applyProtection="1">
      <alignment horizontal="center" vertical="center" wrapText="1"/>
    </xf>
    <xf numFmtId="0" fontId="7" fillId="19" borderId="6" xfId="1" applyNumberFormat="1" applyFont="1" applyFill="1" applyBorder="1" applyAlignment="1" applyProtection="1">
      <alignment horizontal="center" vertical="center" wrapText="1" shrinkToFit="1"/>
    </xf>
    <xf numFmtId="0" fontId="7" fillId="19" borderId="6" xfId="1" applyNumberFormat="1" applyFont="1" applyFill="1" applyBorder="1" applyAlignment="1" applyProtection="1">
      <alignment horizontal="center" vertical="center" wrapText="1"/>
    </xf>
    <xf numFmtId="0" fontId="16" fillId="19" borderId="6" xfId="1" applyNumberFormat="1" applyFont="1" applyFill="1" applyBorder="1" applyAlignment="1" applyProtection="1">
      <alignment horizontal="center" vertical="center" wrapText="1"/>
    </xf>
    <xf numFmtId="44" fontId="10" fillId="0" borderId="41" xfId="1" applyFont="1" applyFill="1" applyBorder="1" applyAlignment="1" applyProtection="1">
      <alignment horizontal="center" vertical="center" wrapText="1" shrinkToFit="1"/>
    </xf>
    <xf numFmtId="44" fontId="10" fillId="0" borderId="0" xfId="1" applyFont="1" applyFill="1" applyBorder="1" applyAlignment="1" applyProtection="1">
      <alignment horizontal="center" vertical="center" wrapText="1" shrinkToFit="1"/>
    </xf>
    <xf numFmtId="44" fontId="10" fillId="0" borderId="25" xfId="1" applyFont="1" applyFill="1" applyBorder="1" applyAlignment="1" applyProtection="1">
      <alignment horizontal="center" vertical="center" wrapText="1" shrinkToFit="1"/>
    </xf>
    <xf numFmtId="43" fontId="10" fillId="0" borderId="1" xfId="1" applyNumberFormat="1" applyFont="1" applyFill="1" applyBorder="1" applyAlignment="1" applyProtection="1">
      <alignment vertical="center" wrapText="1"/>
      <protection locked="0"/>
    </xf>
    <xf numFmtId="43" fontId="10" fillId="0" borderId="46" xfId="1" applyNumberFormat="1" applyFont="1" applyFill="1" applyBorder="1" applyAlignment="1" applyProtection="1">
      <alignment horizontal="right" vertical="center" wrapText="1"/>
      <protection locked="0"/>
    </xf>
    <xf numFmtId="168" fontId="20" fillId="5" borderId="4" xfId="1" applyNumberFormat="1" applyFont="1" applyFill="1" applyBorder="1" applyAlignment="1" applyProtection="1">
      <alignment vertical="center" wrapText="1"/>
    </xf>
    <xf numFmtId="168" fontId="20" fillId="5" borderId="4" xfId="1" applyNumberFormat="1" applyFont="1" applyFill="1" applyBorder="1" applyAlignment="1" applyProtection="1">
      <alignment horizontal="right" vertical="center" wrapText="1"/>
    </xf>
    <xf numFmtId="168" fontId="20" fillId="5" borderId="5" xfId="1" applyNumberFormat="1" applyFont="1" applyFill="1" applyBorder="1" applyAlignment="1" applyProtection="1">
      <alignment horizontal="right" vertical="center" wrapText="1"/>
    </xf>
    <xf numFmtId="168" fontId="20" fillId="5" borderId="10" xfId="1" applyNumberFormat="1" applyFont="1" applyFill="1" applyBorder="1" applyAlignment="1" applyProtection="1">
      <alignment horizontal="right" vertical="center" wrapText="1"/>
    </xf>
    <xf numFmtId="168" fontId="20" fillId="17" borderId="26" xfId="1" applyNumberFormat="1" applyFont="1" applyFill="1" applyBorder="1" applyAlignment="1" applyProtection="1">
      <alignment horizontal="right" vertical="center" wrapText="1" shrinkToFit="1"/>
    </xf>
    <xf numFmtId="168" fontId="20" fillId="5" borderId="28" xfId="1" applyNumberFormat="1" applyFont="1" applyFill="1" applyBorder="1" applyAlignment="1" applyProtection="1">
      <alignment vertical="center" wrapText="1"/>
    </xf>
    <xf numFmtId="168" fontId="20" fillId="5" borderId="12" xfId="1" applyNumberFormat="1" applyFont="1" applyFill="1" applyBorder="1" applyAlignment="1" applyProtection="1">
      <alignment vertical="center" wrapText="1"/>
    </xf>
    <xf numFmtId="168" fontId="20" fillId="5" borderId="14" xfId="1" applyNumberFormat="1" applyFont="1" applyFill="1" applyBorder="1" applyAlignment="1" applyProtection="1">
      <alignment horizontal="right" vertical="center" wrapText="1"/>
    </xf>
    <xf numFmtId="44" fontId="22" fillId="0" borderId="22" xfId="1" applyFont="1" applyBorder="1" applyAlignment="1" applyProtection="1">
      <alignment horizontal="center" vertical="center" wrapText="1"/>
    </xf>
    <xf numFmtId="44" fontId="22" fillId="0" borderId="17" xfId="1" applyFont="1" applyBorder="1" applyAlignment="1" applyProtection="1">
      <alignment horizontal="center" vertical="center" wrapText="1"/>
    </xf>
    <xf numFmtId="44" fontId="22" fillId="0" borderId="31" xfId="1" applyFont="1" applyBorder="1" applyAlignment="1" applyProtection="1">
      <alignment horizontal="center" vertical="center" wrapText="1"/>
    </xf>
    <xf numFmtId="44" fontId="11" fillId="7" borderId="5" xfId="1" applyFont="1" applyFill="1" applyBorder="1" applyAlignment="1" applyProtection="1">
      <alignment vertical="center" wrapText="1"/>
    </xf>
    <xf numFmtId="0" fontId="0" fillId="0" borderId="6" xfId="0" applyBorder="1" applyAlignment="1">
      <alignment wrapText="1"/>
    </xf>
    <xf numFmtId="0" fontId="0" fillId="0" borderId="10" xfId="0" applyBorder="1" applyAlignment="1">
      <alignment wrapText="1"/>
    </xf>
    <xf numFmtId="44" fontId="8" fillId="5" borderId="21" xfId="1" applyFont="1" applyFill="1" applyBorder="1" applyAlignment="1" applyProtection="1">
      <alignment horizontal="left" vertical="center" wrapText="1" shrinkToFit="1"/>
      <protection locked="0"/>
    </xf>
    <xf numFmtId="44" fontId="8" fillId="5" borderId="0" xfId="1" applyFont="1" applyFill="1" applyBorder="1" applyAlignment="1" applyProtection="1">
      <alignment horizontal="left" vertical="center" wrapText="1" shrinkToFit="1"/>
      <protection locked="0"/>
    </xf>
    <xf numFmtId="44" fontId="8" fillId="5" borderId="21" xfId="1" applyFont="1" applyFill="1" applyBorder="1" applyAlignment="1" applyProtection="1">
      <alignment vertical="center" wrapText="1" shrinkToFit="1"/>
      <protection locked="0"/>
    </xf>
    <xf numFmtId="44" fontId="8" fillId="5" borderId="0" xfId="1" applyFont="1" applyFill="1" applyBorder="1" applyAlignment="1" applyProtection="1">
      <alignment vertical="center" wrapText="1" shrinkToFit="1"/>
      <protection locked="0"/>
    </xf>
    <xf numFmtId="44" fontId="9" fillId="4" borderId="32" xfId="1" applyFont="1" applyFill="1" applyBorder="1" applyAlignment="1" applyProtection="1">
      <alignment horizontal="center" vertical="center" wrapText="1" shrinkToFit="1"/>
    </xf>
    <xf numFmtId="44" fontId="9" fillId="4" borderId="41" xfId="1" applyFont="1" applyFill="1" applyBorder="1" applyAlignment="1" applyProtection="1">
      <alignment horizontal="center" vertical="center" wrapText="1" shrinkToFit="1"/>
    </xf>
    <xf numFmtId="44" fontId="21" fillId="6" borderId="22" xfId="1" applyFont="1" applyFill="1" applyBorder="1" applyAlignment="1" applyProtection="1">
      <alignment horizontal="center" vertical="center" wrapText="1"/>
    </xf>
    <xf numFmtId="44" fontId="21" fillId="6" borderId="17" xfId="1" applyFont="1" applyFill="1" applyBorder="1" applyAlignment="1" applyProtection="1">
      <alignment horizontal="center" vertical="center" wrapText="1"/>
    </xf>
    <xf numFmtId="44" fontId="21" fillId="6" borderId="31" xfId="1" applyFont="1" applyFill="1" applyBorder="1" applyAlignment="1" applyProtection="1">
      <alignment horizontal="center" vertical="center" wrapText="1"/>
    </xf>
    <xf numFmtId="43" fontId="10" fillId="0" borderId="0" xfId="1" applyNumberFormat="1" applyFont="1" applyFill="1" applyBorder="1" applyAlignment="1" applyProtection="1">
      <alignment horizontal="right" vertical="center" wrapText="1"/>
      <protection locked="0"/>
    </xf>
    <xf numFmtId="43" fontId="10" fillId="0" borderId="0" xfId="1" applyNumberFormat="1" applyFont="1" applyFill="1" applyBorder="1" applyAlignment="1" applyProtection="1">
      <alignment horizontal="left" vertical="top" wrapText="1"/>
      <protection locked="0"/>
    </xf>
    <xf numFmtId="43" fontId="10" fillId="0" borderId="0" xfId="1" applyNumberFormat="1" applyFont="1" applyFill="1" applyBorder="1" applyAlignment="1" applyProtection="1">
      <alignment vertical="center" wrapText="1"/>
      <protection locked="0"/>
    </xf>
    <xf numFmtId="43" fontId="10" fillId="0" borderId="56" xfId="1" applyNumberFormat="1" applyFont="1" applyFill="1" applyBorder="1" applyAlignment="1" applyProtection="1">
      <alignment vertical="center" wrapText="1"/>
      <protection locked="0"/>
    </xf>
    <xf numFmtId="10" fontId="0" fillId="0" borderId="0" xfId="7" applyNumberFormat="1" applyFont="1"/>
  </cellXfs>
  <cellStyles count="11">
    <cellStyle name="Currency" xfId="1" builtinId="4"/>
    <cellStyle name="Currency 2" xfId="5" xr:uid="{00000000-0005-0000-0000-000001000000}"/>
    <cellStyle name="Currency 2 2" xfId="9" xr:uid="{CAB72B6F-0B41-45DF-90B8-DE7CE06E7B99}"/>
    <cellStyle name="Normal" xfId="0" builtinId="0" customBuiltin="1"/>
    <cellStyle name="Normal 2" xfId="3" xr:uid="{00000000-0005-0000-0000-000003000000}"/>
    <cellStyle name="Normal 3" xfId="4" xr:uid="{00000000-0005-0000-0000-000004000000}"/>
    <cellStyle name="Normal 3 2" xfId="8" xr:uid="{44BC8B4E-E1ED-43BE-9CEF-23D18C0AFC94}"/>
    <cellStyle name="Percent" xfId="7" builtinId="5"/>
    <cellStyle name="Percent 2" xfId="2" xr:uid="{00000000-0005-0000-0000-000005000000}"/>
    <cellStyle name="Percent 3" xfId="6" xr:uid="{00000000-0005-0000-0000-000006000000}"/>
    <cellStyle name="Percent 3 2" xfId="10" xr:uid="{CE723BC6-C1F2-40F0-9540-A744022EAE5A}"/>
  </cellStyles>
  <dxfs count="62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medium">
          <color indexed="64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rgb="FF00B0F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rgb="FF00B0F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rgb="FF00B0F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rgb="FF00B0F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rgb="FF00B05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rgb="FF00B05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rgb="FF00B05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rgb="FF00B05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rgb="FF00B05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rgb="FF00B05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theme="4" tint="0.39994506668294322"/>
        </left>
        <right/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rgb="FF00B05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rgb="FF00B05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color auto="1"/>
        <name val="Arial"/>
        <family val="2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  <numFmt numFmtId="164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vertical="center" textRotation="0" wrapText="1" indent="0" justifyLastLine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1" readingOrder="0"/>
      <border diagonalUp="0" diagonalDown="0">
        <left/>
        <right style="thin">
          <color theme="4" tint="0.39994506668294322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1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  <border diagonalUp="0" diagonalDown="0">
        <left/>
        <right style="thin">
          <color theme="4" tint="0.39994506668294322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border diagonalUp="0" diagonalDown="0" outline="0">
        <left/>
        <right style="thin">
          <color theme="4" tint="0.39994506668294322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1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border diagonalUp="0" diagonalDown="0" outline="0">
        <left/>
        <right style="thin">
          <color theme="4" tint="0.39994506668294322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1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border diagonalUp="0" diagonalDown="0" outline="0">
        <left/>
        <right style="thin">
          <color theme="4" tint="0.39994506668294322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1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border diagonalUp="0" diagonalDown="0" outline="0">
        <left/>
        <right style="thin">
          <color theme="4" tint="0.39994506668294322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1" readingOrder="0"/>
      <border diagonalUp="0" diagonalDown="0">
        <left/>
        <right style="thin">
          <color theme="4" tint="0.39994506668294322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1" readingOrder="0"/>
      <border diagonalUp="0" diagonalDown="0" outline="0">
        <left style="medium">
          <color indexed="64"/>
        </left>
        <right style="thin">
          <color theme="4" tint="0.39994506668294322"/>
        </right>
        <top style="medium">
          <color indexed="64"/>
        </top>
        <bottom style="medium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1" readingOrder="0"/>
      <protection locked="1" hidden="0"/>
    </dxf>
    <dxf>
      <border>
        <top style="medium">
          <color indexed="64"/>
        </top>
      </border>
    </dxf>
    <dxf>
      <font>
        <b/>
        <strike val="0"/>
        <outline val="0"/>
        <shadow val="0"/>
        <u val="none"/>
        <vertAlign val="baseline"/>
        <sz val="12"/>
        <name val="Arial"/>
        <family val="2"/>
        <scheme val="none"/>
      </font>
      <fill>
        <patternFill patternType="solid">
          <fgColor indexed="64"/>
          <bgColor theme="9"/>
        </patternFill>
      </fill>
      <alignment horizontal="general" vertical="center" textRotation="0" wrapText="1" indent="0" justifyLastLine="0" shrinkToFit="1" readingOrder="0"/>
      <protection locked="1" hidden="0"/>
    </dxf>
    <dxf>
      <border diagonalUp="0" diagonalDown="0">
        <left/>
        <right/>
        <top style="thin">
          <color theme="4" tint="0.39994506668294322"/>
        </top>
        <bottom style="thin">
          <color theme="4" tint="0.39994506668294322"/>
        </bottom>
      </border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vertical="center" textRotation="0" wrapText="1" indent="0" justifyLastLine="0" readingOrder="0"/>
      <protection locked="1" hidden="0"/>
    </dxf>
    <dxf>
      <border>
        <bottom style="medium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auto="1"/>
        <name val="Arial Black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9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Table1215" displayName="Table1215" ref="B17:AC58" totalsRowCount="1" headerRowDxfId="61" dataDxfId="59" totalsRowDxfId="57" headerRowBorderDxfId="60" tableBorderDxfId="58" totalsRowBorderDxfId="56" headerRowCellStyle="Currency" dataCellStyle="Currency" totalsRowCellStyle="Currency">
  <tableColumns count="28">
    <tableColumn id="1" xr3:uid="{00000000-0010-0000-0100-000001000000}" name="Position Title / Series / Item / Contract / etc." totalsRowFunction="custom" dataDxfId="55" totalsRowDxfId="54" dataCellStyle="Currency">
      <totalsRowFormula>B18</totalsRowFormula>
    </tableColumn>
    <tableColumn id="21" xr3:uid="{E4CC06F5-11B1-478F-B710-7891A454C892}" name="PD # / Contract # / etc." dataDxfId="53" totalsRowDxfId="52" dataCellStyle="Currency"/>
    <tableColumn id="26" xr3:uid="{FF4F4DBC-A9AF-4416-89F0-6BB12392F425}" name="Planned / Budgeted" dataDxfId="51" totalsRowDxfId="50" dataCellStyle="Currency"/>
    <tableColumn id="14" xr3:uid="{00000000-0010-0000-0100-00000E000000}" name="Last Name" dataDxfId="49" totalsRowDxfId="48" dataCellStyle="Currency"/>
    <tableColumn id="13" xr3:uid="{00000000-0010-0000-0100-00000D000000}" name="First Name" dataDxfId="47" totalsRowDxfId="46" dataCellStyle="Currency"/>
    <tableColumn id="8" xr3:uid="{00000000-0010-0000-0100-000008000000}" name="Start Date" dataDxfId="45" totalsRowDxfId="44" dataCellStyle="Currency"/>
    <tableColumn id="5" xr3:uid="{00000000-0010-0000-0100-000005000000}" name="Stop Date" dataDxfId="43" totalsRowDxfId="42" dataCellStyle="Currency"/>
    <tableColumn id="7" xr3:uid="{00000000-0010-0000-0100-000007000000}" name="GS " dataDxfId="41" totalsRowDxfId="40" dataCellStyle="Currency"/>
    <tableColumn id="6" xr3:uid="{00000000-0010-0000-0100-000006000000}" name="Step" dataDxfId="39" totalsRowDxfId="38" dataCellStyle="Currency"/>
    <tableColumn id="27" xr3:uid="{D16473C3-2D85-4C60-AD19-9C46A45D6111}" name="Base_x000a_Hourly_x000a_" dataDxfId="37" totalsRowDxfId="36" dataCellStyle="Currency"/>
    <tableColumn id="2" xr3:uid="{00000000-0010-0000-0100-000002000000}" name="EBC" dataDxfId="35" totalsRowDxfId="34" dataCellStyle="Currency"/>
    <tableColumn id="12" xr3:uid="{00000000-0010-0000-0100-00000C000000}" name="Hours per Pay Period" dataDxfId="33" totalsRowDxfId="32" dataCellStyle="Currency"/>
    <tableColumn id="11" xr3:uid="{00000000-0010-0000-0100-00000B000000}" name="Pay Periods per FY" dataDxfId="31" totalsRowDxfId="30" dataCellStyle="Currency"/>
    <tableColumn id="10" xr3:uid="{00000000-0010-0000-0100-00000A000000}" name="Base Hourly_x000a_w/EBCs_x000a_$" dataDxfId="29" totalsRowDxfId="28" dataCellStyle="Currency"/>
    <tableColumn id="9" xr3:uid="{00000000-0010-0000-0100-000009000000}" name="Annual Salary w/EBCs_x000a_$" totalsRowFunction="custom" dataDxfId="27" totalsRowDxfId="26" dataCellStyle="Currency">
      <totalsRowFormula>SUM(P19:P57)</totalsRowFormula>
    </tableColumn>
    <tableColumn id="3" xr3:uid="{00000000-0010-0000-0100-000003000000}" name="Furlough Health Benefits_x000a_$" totalsRowFunction="custom" dataDxfId="25" totalsRowDxfId="24" dataCellStyle="Currency">
      <totalsRowFormula>SUM(Q19:Q57)</totalsRowFormula>
    </tableColumn>
    <tableColumn id="4" xr3:uid="{00000000-0010-0000-0100-000004000000}" name="Training_x000a_$" totalsRowFunction="custom" dataDxfId="23" totalsRowDxfId="22" dataCellStyle="Currency">
      <totalsRowFormula>SUM(R19:R57)</totalsRowFormula>
    </tableColumn>
    <tableColumn id="15" xr3:uid="{CC273A44-9BA6-49B4-B07E-109C698D63B1}" name="Travel_x000a_$" totalsRowFunction="custom" dataDxfId="21" totalsRowDxfId="20" dataCellStyle="Currency">
      <totalsRowFormula>SUM(S19:S57)</totalsRowFormula>
    </tableColumn>
    <tableColumn id="16" xr3:uid="{08D7AB24-43D1-4A8A-990E-382E07A344F3}" name="Gear / Uniform_x000a_$" totalsRowFunction="custom" dataDxfId="19" totalsRowDxfId="18" dataCellStyle="Currency">
      <totalsRowFormula>SUM(T19:T57)</totalsRowFormula>
    </tableColumn>
    <tableColumn id="17" xr3:uid="{B136046B-B6DE-4F97-8E9B-B70A8444C380}" name="Vehicle Fuel_x000a_$" totalsRowFunction="custom" dataDxfId="17" totalsRowDxfId="16" dataCellStyle="Currency">
      <totalsRowFormula>SUM(U19:U57)</totalsRowFormula>
    </tableColumn>
    <tableColumn id="18" xr3:uid="{20B79F71-C0D5-4C37-800B-5566EEECA585}" name="Vehicle Maintenance_x000a_$" totalsRowFunction="custom" dataDxfId="15" totalsRowDxfId="14" dataCellStyle="Currency">
      <totalsRowFormula>SUM(V19:V57)</totalsRowFormula>
    </tableColumn>
    <tableColumn id="24" xr3:uid="{6DD39645-E86E-43E8-AF0C-951ADF565518}" name="TBD" totalsRowFunction="custom" dataDxfId="13" totalsRowDxfId="12" dataCellStyle="Currency">
      <totalsRowFormula>SUM(W19:W57)</totalsRowFormula>
    </tableColumn>
    <tableColumn id="19" xr3:uid="{478E814D-AFF3-4B8C-97F8-295BF33E3256}" name="Vehicle Working Capital Fund_x000a_$" totalsRowFunction="custom" dataDxfId="11" totalsRowDxfId="10" dataCellStyle="Currency">
      <totalsRowFormula>SUM(X19:X57)</totalsRowFormula>
    </tableColumn>
    <tableColumn id="22" xr3:uid="{25E20D37-57D6-401C-9DC9-F73C66DF562F}" name="Facilities_x000a_$" totalsRowFunction="custom" dataDxfId="9" totalsRowDxfId="8" dataCellStyle="Currency">
      <totalsRowFormula>SUM(Y19:Y57)</totalsRowFormula>
    </tableColumn>
    <tableColumn id="20" xr3:uid="{548CE018-4C03-4364-811A-212A8A6E7FAE}" name="TBD_x000a_$" totalsRowFunction="custom" dataDxfId="7" totalsRowDxfId="6" dataCellStyle="Currency">
      <totalsRowFormula>SUM(Z19:Z57)</totalsRowFormula>
    </tableColumn>
    <tableColumn id="28" xr3:uid="{77C36EF9-00CC-498C-81A8-B1251BDCCED4}" name="Supplemental_x000a_$" totalsRowFunction="custom" dataDxfId="5" totalsRowDxfId="4" dataCellStyle="Currency">
      <totalsRowFormula>SUM(AA19:AA57)</totalsRowFormula>
    </tableColumn>
    <tableColumn id="23" xr3:uid="{04599DF5-8CF4-4A8A-979B-02E444D60DD8}" name="Planned Cost_x000a_$" totalsRowFunction="custom" dataDxfId="3" totalsRowDxfId="2" dataCellStyle="Currency">
      <totalsRowFormula>SUM(AB19:AB57)</totalsRowFormula>
    </tableColumn>
    <tableColumn id="25" xr3:uid="{7A940539-ED9C-4BAD-85C4-92E701B6A52A}" name="Budgeted Cost_x000a_$" totalsRowFunction="custom" dataDxfId="1" totalsRowDxfId="0" dataCellStyle="Currency">
      <totalsRowFormula>SUM(AC19:AC57)</totalsRowFormula>
    </tableColumn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1:AC58"/>
  <sheetViews>
    <sheetView tabSelected="1" topLeftCell="A3" zoomScale="70" zoomScaleNormal="70" workbookViewId="0">
      <selection activeCell="P5" sqref="P5"/>
    </sheetView>
  </sheetViews>
  <sheetFormatPr defaultColWidth="9.09765625" defaultRowHeight="13" x14ac:dyDescent="0.3"/>
  <cols>
    <col min="1" max="1" width="9.09765625" style="54"/>
    <col min="2" max="2" width="72.69921875" style="54" customWidth="1"/>
    <col min="3" max="3" width="25.09765625" style="54" customWidth="1"/>
    <col min="4" max="4" width="22.3984375" style="54" customWidth="1"/>
    <col min="5" max="5" width="23" style="17" customWidth="1"/>
    <col min="6" max="6" width="22.69921875" style="17" customWidth="1"/>
    <col min="7" max="7" width="15.8984375" style="17" customWidth="1"/>
    <col min="8" max="8" width="15.69921875" style="17" customWidth="1"/>
    <col min="9" max="9" width="14.8984375" style="17" customWidth="1"/>
    <col min="10" max="10" width="14.09765625" style="17" customWidth="1"/>
    <col min="11" max="11" width="18.09765625" style="17" customWidth="1"/>
    <col min="12" max="12" width="16.3984375" style="17" customWidth="1"/>
    <col min="13" max="13" width="16.09765625" style="17" customWidth="1"/>
    <col min="14" max="14" width="18.09765625" style="17" customWidth="1"/>
    <col min="15" max="15" width="20.8984375" style="17" customWidth="1"/>
    <col min="16" max="16" width="22.69921875" style="17" customWidth="1"/>
    <col min="17" max="17" width="18.59765625" style="54" customWidth="1"/>
    <col min="18" max="18" width="18" style="54" customWidth="1"/>
    <col min="19" max="20" width="16.8984375" style="54" customWidth="1"/>
    <col min="21" max="21" width="16.3984375" style="54" customWidth="1"/>
    <col min="22" max="22" width="18.296875" style="54" customWidth="1"/>
    <col min="23" max="23" width="17.296875" style="54" customWidth="1"/>
    <col min="24" max="24" width="16.3984375" style="54" customWidth="1"/>
    <col min="25" max="25" width="18.3984375" style="54" customWidth="1"/>
    <col min="26" max="26" width="16.3984375" style="54" customWidth="1"/>
    <col min="27" max="27" width="16.69921875" style="54" customWidth="1"/>
    <col min="28" max="28" width="19.59765625" style="54" customWidth="1"/>
    <col min="29" max="29" width="16.3984375" style="54" bestFit="1" customWidth="1"/>
    <col min="30" max="30" width="14.3984375" style="54" bestFit="1" customWidth="1"/>
    <col min="31" max="16384" width="9.09765625" style="54"/>
  </cols>
  <sheetData>
    <row r="1" spans="2:28" s="18" customFormat="1" ht="32.5" x14ac:dyDescent="0.3"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R1" s="16"/>
      <c r="S1" s="16"/>
      <c r="T1" s="16"/>
      <c r="U1" s="16"/>
      <c r="V1" s="16"/>
      <c r="W1" s="16"/>
      <c r="X1" s="16"/>
      <c r="Y1" s="16"/>
    </row>
    <row r="2" spans="2:28" s="18" customFormat="1" ht="13.5" thickBot="1" x14ac:dyDescent="0.35">
      <c r="B2" s="19"/>
      <c r="C2" s="19"/>
      <c r="D2" s="19"/>
      <c r="E2" s="19"/>
      <c r="F2" s="20"/>
      <c r="G2" s="20"/>
      <c r="H2" s="21"/>
      <c r="I2" s="22"/>
      <c r="J2" s="23"/>
      <c r="K2" s="23"/>
      <c r="L2" s="17"/>
      <c r="M2" s="17"/>
      <c r="N2" s="17"/>
      <c r="O2" s="17"/>
      <c r="P2" s="17"/>
    </row>
    <row r="3" spans="2:28" s="18" customFormat="1" ht="36.75" customHeight="1" thickBot="1" x14ac:dyDescent="0.35">
      <c r="B3" s="24"/>
      <c r="C3" s="24"/>
      <c r="D3" s="191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3"/>
      <c r="R3" s="179"/>
      <c r="S3" s="180"/>
      <c r="T3" s="180"/>
      <c r="U3" s="180"/>
      <c r="V3" s="180"/>
      <c r="W3" s="180"/>
      <c r="X3" s="180"/>
      <c r="Y3" s="181"/>
    </row>
    <row r="4" spans="2:28" s="18" customFormat="1" ht="129.75" customHeight="1" thickBot="1" x14ac:dyDescent="0.35">
      <c r="B4" s="189" t="s">
        <v>147</v>
      </c>
      <c r="C4" s="190"/>
      <c r="D4" s="152"/>
      <c r="E4" s="153" t="str">
        <f>Table1215[[#Headers],[Annual Salary w/EBCs
$]]</f>
        <v>Annual Salary w/EBCs
$</v>
      </c>
      <c r="F4" s="153" t="str">
        <f>Table1215[[#Headers],[Furlough Health Benefits
$]]</f>
        <v>Furlough Health Benefits
$</v>
      </c>
      <c r="G4" s="153" t="str">
        <f>Table1215[[#Headers],[Training
$]]</f>
        <v>Training
$</v>
      </c>
      <c r="H4" s="153" t="str">
        <f>Table1215[[#Headers],[Travel
$]]</f>
        <v>Travel
$</v>
      </c>
      <c r="I4" s="153" t="str">
        <f>Table1215[[#Headers],[Gear / Uniform
$]]</f>
        <v>Gear / Uniform
$</v>
      </c>
      <c r="J4" s="153" t="str">
        <f>Table1215[[#Headers],[Vehicle Fuel
$]]</f>
        <v>Vehicle Fuel
$</v>
      </c>
      <c r="K4" s="154" t="str">
        <f>Table1215[[#Headers],[Vehicle Maintenance
$]]</f>
        <v>Vehicle Maintenance
$</v>
      </c>
      <c r="L4" s="153" t="str">
        <f>Table1215[[#Headers],[TBD]]</f>
        <v>TBD</v>
      </c>
      <c r="M4" s="153"/>
      <c r="N4" s="153"/>
      <c r="O4" s="155" t="s">
        <v>128</v>
      </c>
      <c r="P4" s="110" t="s">
        <v>129</v>
      </c>
      <c r="Q4" s="25"/>
      <c r="R4" s="26" t="str">
        <f>Table1215[[#Headers],[Vehicle Working Capital Fund
$]]</f>
        <v>Vehicle Working Capital Fund
$</v>
      </c>
      <c r="S4" s="27" t="str">
        <f>Table1215[[#Headers],[Facilities
$]]</f>
        <v>Facilities
$</v>
      </c>
      <c r="T4" s="27" t="str">
        <f>Table1215[[#Headers],[TBD
$]]</f>
        <v>TBD
$</v>
      </c>
      <c r="U4" s="111" t="str">
        <f>Table1215[[#Headers],[Supplemental
$]]</f>
        <v>Supplemental
$</v>
      </c>
      <c r="V4" s="111"/>
      <c r="W4" s="111"/>
      <c r="X4" s="111" t="s">
        <v>130</v>
      </c>
      <c r="Y4" s="112" t="s">
        <v>131</v>
      </c>
      <c r="Z4" s="28"/>
      <c r="AA4" s="29" t="str">
        <f>Table1215[[#Headers],[Planned Cost
$]]</f>
        <v>Planned Cost
$</v>
      </c>
      <c r="AB4" s="29" t="str">
        <f>Table1215[[#Headers],[Budgeted Cost
$]]</f>
        <v>Budgeted Cost
$</v>
      </c>
    </row>
    <row r="5" spans="2:28" s="18" customFormat="1" ht="18.75" customHeight="1" thickBot="1" x14ac:dyDescent="0.35">
      <c r="B5" s="30"/>
      <c r="C5" s="100"/>
      <c r="D5" s="157">
        <v>2024</v>
      </c>
      <c r="E5" s="158">
        <f t="shared" ref="E5:L5" si="0">P18</f>
        <v>706238.1889999999</v>
      </c>
      <c r="F5" s="158">
        <f t="shared" si="0"/>
        <v>0</v>
      </c>
      <c r="G5" s="158">
        <f t="shared" si="0"/>
        <v>24000</v>
      </c>
      <c r="H5" s="158">
        <f t="shared" si="0"/>
        <v>24000</v>
      </c>
      <c r="I5" s="158">
        <f t="shared" si="0"/>
        <v>24000</v>
      </c>
      <c r="J5" s="158">
        <f t="shared" si="0"/>
        <v>5400</v>
      </c>
      <c r="K5" s="159">
        <f t="shared" si="0"/>
        <v>21100</v>
      </c>
      <c r="L5" s="158">
        <f t="shared" si="0"/>
        <v>0</v>
      </c>
      <c r="M5" s="160"/>
      <c r="N5" s="160"/>
      <c r="O5" s="161">
        <f>SUM(E5:N5)</f>
        <v>804738.1889999999</v>
      </c>
      <c r="P5" s="151">
        <v>771120</v>
      </c>
      <c r="Q5" s="163">
        <f>D5</f>
        <v>2024</v>
      </c>
      <c r="R5" s="31">
        <f>X18</f>
        <v>0</v>
      </c>
      <c r="S5" s="32">
        <f>Y18</f>
        <v>0</v>
      </c>
      <c r="T5" s="32">
        <f>Z18</f>
        <v>0</v>
      </c>
      <c r="U5" s="33">
        <f>AA18</f>
        <v>0</v>
      </c>
      <c r="V5" s="33"/>
      <c r="W5" s="33"/>
      <c r="X5" s="33">
        <f>SUM(R5:W5)</f>
        <v>0</v>
      </c>
      <c r="Y5" s="34"/>
      <c r="Z5" s="165">
        <f>Q5</f>
        <v>2024</v>
      </c>
      <c r="AA5" s="35">
        <f>AB18</f>
        <v>804738.18899999978</v>
      </c>
      <c r="AB5" s="35">
        <f>AC18</f>
        <v>804738.18899999978</v>
      </c>
    </row>
    <row r="6" spans="2:28" s="18" customFormat="1" ht="18.75" customHeight="1" thickBot="1" x14ac:dyDescent="0.35">
      <c r="B6" s="185" t="s">
        <v>18</v>
      </c>
      <c r="C6" s="186"/>
      <c r="D6" s="109">
        <v>2023</v>
      </c>
      <c r="E6" s="171">
        <v>563617</v>
      </c>
      <c r="F6" s="172"/>
      <c r="G6" s="172"/>
      <c r="H6" s="172"/>
      <c r="I6" s="172"/>
      <c r="J6" s="172"/>
      <c r="K6" s="173"/>
      <c r="L6" s="172"/>
      <c r="M6" s="172">
        <v>70000</v>
      </c>
      <c r="N6" s="172">
        <v>22500</v>
      </c>
      <c r="O6" s="174">
        <f>SUM(E6:N6)</f>
        <v>656117</v>
      </c>
      <c r="P6" s="175">
        <v>656117</v>
      </c>
      <c r="Q6" s="164">
        <f>D6</f>
        <v>2023</v>
      </c>
      <c r="R6" s="12"/>
      <c r="S6" s="13"/>
      <c r="T6" s="13"/>
      <c r="U6" s="14"/>
      <c r="V6" s="15"/>
      <c r="W6" s="13"/>
      <c r="X6" s="13">
        <f t="shared" ref="X6:X7" si="1">SUM(R6:W6)</f>
        <v>0</v>
      </c>
      <c r="Y6" s="36"/>
      <c r="Z6" s="165">
        <f>Q6</f>
        <v>2023</v>
      </c>
      <c r="AA6" s="35"/>
      <c r="AB6" s="35"/>
    </row>
    <row r="7" spans="2:28" s="18" customFormat="1" ht="18.5" thickBot="1" x14ac:dyDescent="0.35">
      <c r="B7" s="103" t="s">
        <v>120</v>
      </c>
      <c r="C7" s="99"/>
      <c r="D7" s="162">
        <v>2022</v>
      </c>
      <c r="E7" s="176">
        <v>540018</v>
      </c>
      <c r="F7" s="176"/>
      <c r="G7" s="176"/>
      <c r="H7" s="176"/>
      <c r="I7" s="176"/>
      <c r="J7" s="176"/>
      <c r="K7" s="177"/>
      <c r="L7" s="176"/>
      <c r="M7" s="176">
        <v>70000</v>
      </c>
      <c r="N7" s="176">
        <v>22500</v>
      </c>
      <c r="O7" s="178">
        <f>SUM(E7:N7)</f>
        <v>632518</v>
      </c>
      <c r="P7" s="175">
        <v>632518</v>
      </c>
      <c r="Q7" s="164">
        <f>D7</f>
        <v>2022</v>
      </c>
      <c r="R7" s="144"/>
      <c r="S7" s="145"/>
      <c r="T7" s="145"/>
      <c r="U7" s="145"/>
      <c r="V7" s="145"/>
      <c r="W7" s="146"/>
      <c r="X7" s="146">
        <f t="shared" si="1"/>
        <v>0</v>
      </c>
      <c r="Y7" s="147"/>
      <c r="Z7" s="165">
        <f>Q7</f>
        <v>2022</v>
      </c>
      <c r="AA7" s="35"/>
      <c r="AB7" s="35"/>
    </row>
    <row r="8" spans="2:28" s="18" customFormat="1" ht="16.5" customHeight="1" x14ac:dyDescent="0.3">
      <c r="B8" s="103" t="s">
        <v>122</v>
      </c>
      <c r="C8" s="99"/>
      <c r="D8" s="156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3"/>
      <c r="Q8" s="37"/>
      <c r="R8" s="148"/>
      <c r="S8" s="149"/>
      <c r="T8" s="149"/>
      <c r="U8" s="149"/>
      <c r="V8" s="149"/>
      <c r="W8" s="149"/>
      <c r="X8" s="149"/>
      <c r="Y8" s="150"/>
    </row>
    <row r="9" spans="2:28" s="18" customFormat="1" ht="16.5" customHeight="1" x14ac:dyDescent="0.3">
      <c r="B9" s="187" t="s">
        <v>123</v>
      </c>
      <c r="C9" s="188"/>
      <c r="D9" s="115"/>
      <c r="E9" s="129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5"/>
      <c r="Q9" s="38"/>
      <c r="R9" s="116"/>
      <c r="S9" s="131"/>
      <c r="T9" s="104"/>
      <c r="U9" s="104"/>
      <c r="V9" s="104"/>
      <c r="W9" s="104"/>
      <c r="X9" s="104"/>
      <c r="Y9" s="105"/>
    </row>
    <row r="10" spans="2:28" s="18" customFormat="1" ht="16.5" customHeight="1" x14ac:dyDescent="0.3">
      <c r="B10" s="103" t="s">
        <v>121</v>
      </c>
      <c r="C10" s="99"/>
      <c r="D10" s="115"/>
      <c r="E10" s="129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5"/>
      <c r="Q10" s="38"/>
      <c r="R10" s="116"/>
      <c r="S10" s="131"/>
      <c r="T10" s="104"/>
      <c r="U10" s="104"/>
      <c r="V10" s="104"/>
      <c r="W10" s="104"/>
      <c r="X10" s="104"/>
      <c r="Y10" s="105"/>
    </row>
    <row r="11" spans="2:28" s="18" customFormat="1" ht="16.5" customHeight="1" x14ac:dyDescent="0.3">
      <c r="B11" s="66" t="s">
        <v>100</v>
      </c>
      <c r="C11" s="101" t="s">
        <v>46</v>
      </c>
      <c r="D11" s="115"/>
      <c r="E11" s="129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5"/>
      <c r="Q11" s="38"/>
      <c r="R11" s="116"/>
      <c r="S11" s="131"/>
      <c r="T11" s="104"/>
      <c r="U11" s="104"/>
      <c r="V11" s="104"/>
      <c r="W11" s="104"/>
      <c r="X11" s="104"/>
      <c r="Y11" s="105"/>
    </row>
    <row r="12" spans="2:28" s="18" customFormat="1" ht="16.5" customHeight="1" x14ac:dyDescent="0.3">
      <c r="B12" s="103" t="s">
        <v>124</v>
      </c>
      <c r="C12" s="101"/>
      <c r="D12" s="115"/>
      <c r="E12" s="129"/>
      <c r="F12" s="104"/>
      <c r="G12" s="104"/>
      <c r="H12" s="104"/>
      <c r="I12" s="104"/>
      <c r="J12" s="104"/>
      <c r="K12" s="104"/>
      <c r="L12" s="104"/>
      <c r="M12" s="108"/>
      <c r="N12" s="104"/>
      <c r="O12" s="104"/>
      <c r="P12" s="105"/>
      <c r="Q12" s="38"/>
      <c r="R12" s="116"/>
      <c r="S12" s="131"/>
      <c r="T12" s="104"/>
      <c r="U12" s="104"/>
      <c r="V12" s="104"/>
      <c r="W12" s="104"/>
      <c r="X12" s="104"/>
      <c r="Y12" s="105"/>
    </row>
    <row r="13" spans="2:28" s="18" customFormat="1" ht="16.5" customHeight="1" x14ac:dyDescent="0.3">
      <c r="B13" s="103" t="s">
        <v>148</v>
      </c>
      <c r="C13" s="101"/>
      <c r="D13" s="115"/>
      <c r="E13" s="182" t="s">
        <v>145</v>
      </c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4"/>
      <c r="Q13" s="38"/>
      <c r="R13" s="116"/>
      <c r="S13" s="131"/>
      <c r="T13" s="104"/>
      <c r="U13" s="104"/>
      <c r="V13" s="104"/>
      <c r="W13" s="104"/>
      <c r="X13" s="104"/>
      <c r="Y13" s="105"/>
    </row>
    <row r="14" spans="2:28" s="18" customFormat="1" ht="16.5" customHeight="1" x14ac:dyDescent="0.3">
      <c r="B14" s="103" t="s">
        <v>125</v>
      </c>
      <c r="C14" s="101"/>
      <c r="D14" s="115"/>
      <c r="E14" s="129" t="s">
        <v>144</v>
      </c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5"/>
      <c r="Q14" s="38"/>
      <c r="R14" s="116"/>
      <c r="S14" s="131"/>
      <c r="T14" s="104"/>
      <c r="U14" s="104"/>
      <c r="V14" s="104"/>
      <c r="W14" s="104"/>
      <c r="X14" s="104"/>
      <c r="Y14" s="105"/>
    </row>
    <row r="15" spans="2:28" s="18" customFormat="1" ht="16.5" customHeight="1" thickBot="1" x14ac:dyDescent="0.35">
      <c r="B15" s="136" t="s">
        <v>126</v>
      </c>
      <c r="C15" s="102"/>
      <c r="D15" s="117"/>
      <c r="E15" s="130" t="s">
        <v>119</v>
      </c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7"/>
      <c r="Q15" s="38"/>
      <c r="R15" s="118"/>
      <c r="S15" s="132"/>
      <c r="T15" s="106"/>
      <c r="U15" s="106"/>
      <c r="V15" s="106"/>
      <c r="W15" s="106"/>
      <c r="X15" s="106"/>
      <c r="Y15" s="107"/>
    </row>
    <row r="16" spans="2:28" s="41" customFormat="1" ht="16.5" customHeight="1" thickBot="1" x14ac:dyDescent="0.35">
      <c r="B16" s="24"/>
      <c r="C16" s="24"/>
      <c r="D16" s="39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</row>
    <row r="17" spans="1:29" s="50" customFormat="1" ht="92.25" customHeight="1" thickBot="1" x14ac:dyDescent="0.35">
      <c r="B17" s="42" t="s">
        <v>127</v>
      </c>
      <c r="C17" s="43" t="s">
        <v>16</v>
      </c>
      <c r="D17" s="43" t="s">
        <v>115</v>
      </c>
      <c r="E17" s="43" t="s">
        <v>4</v>
      </c>
      <c r="F17" s="43" t="s">
        <v>3</v>
      </c>
      <c r="G17" s="44" t="s">
        <v>1</v>
      </c>
      <c r="H17" s="44" t="s">
        <v>0</v>
      </c>
      <c r="I17" s="44" t="s">
        <v>5</v>
      </c>
      <c r="J17" s="44" t="s">
        <v>2</v>
      </c>
      <c r="K17" s="44" t="s">
        <v>133</v>
      </c>
      <c r="L17" s="44" t="s">
        <v>6</v>
      </c>
      <c r="M17" s="44" t="s">
        <v>116</v>
      </c>
      <c r="N17" s="44" t="s">
        <v>117</v>
      </c>
      <c r="O17" s="44" t="s">
        <v>118</v>
      </c>
      <c r="P17" s="45" t="s">
        <v>14</v>
      </c>
      <c r="Q17" s="45" t="s">
        <v>13</v>
      </c>
      <c r="R17" s="46" t="s">
        <v>12</v>
      </c>
      <c r="S17" s="46" t="s">
        <v>11</v>
      </c>
      <c r="T17" s="46" t="s">
        <v>10</v>
      </c>
      <c r="U17" s="46" t="s">
        <v>7</v>
      </c>
      <c r="V17" s="46" t="s">
        <v>8</v>
      </c>
      <c r="W17" s="46" t="s">
        <v>132</v>
      </c>
      <c r="X17" s="47" t="s">
        <v>108</v>
      </c>
      <c r="Y17" s="47" t="s">
        <v>9</v>
      </c>
      <c r="Z17" s="47" t="s">
        <v>15</v>
      </c>
      <c r="AA17" s="47" t="s">
        <v>109</v>
      </c>
      <c r="AB17" s="48" t="s">
        <v>110</v>
      </c>
      <c r="AC17" s="49" t="s">
        <v>114</v>
      </c>
    </row>
    <row r="18" spans="1:29" s="50" customFormat="1" ht="29.25" customHeight="1" thickBot="1" x14ac:dyDescent="0.35">
      <c r="B18" s="69" t="s">
        <v>17</v>
      </c>
      <c r="C18" s="70"/>
      <c r="D18" s="70"/>
      <c r="E18" s="71"/>
      <c r="F18" s="71"/>
      <c r="G18" s="72"/>
      <c r="H18" s="72"/>
      <c r="I18" s="72"/>
      <c r="J18" s="72"/>
      <c r="K18" s="72"/>
      <c r="L18" s="73"/>
      <c r="M18" s="73"/>
      <c r="N18" s="73"/>
      <c r="O18" s="73"/>
      <c r="P18" s="74">
        <f>Table1215[[#Totals],[Annual Salary w/EBCs
$]]</f>
        <v>706238.1889999999</v>
      </c>
      <c r="Q18" s="74">
        <f>Table1215[[#Totals],[Furlough Health Benefits
$]]</f>
        <v>0</v>
      </c>
      <c r="R18" s="74">
        <f>Table1215[[#Totals],[Training
$]]</f>
        <v>24000</v>
      </c>
      <c r="S18" s="74">
        <f>Table1215[[#Totals],[Travel
$]]</f>
        <v>24000</v>
      </c>
      <c r="T18" s="74">
        <f>Table1215[[#Totals],[Gear / Uniform
$]]</f>
        <v>24000</v>
      </c>
      <c r="U18" s="119">
        <f>Table1215[[#Totals],[Vehicle Fuel
$]]</f>
        <v>5400</v>
      </c>
      <c r="V18" s="119">
        <f>Table1215[[#Totals],[Vehicle Maintenance
$]]</f>
        <v>21100</v>
      </c>
      <c r="W18" s="119">
        <f>Table1215[[#Totals],[TBD]]</f>
        <v>0</v>
      </c>
      <c r="X18" s="51">
        <f>Table1215[[#Totals],[Vehicle Working Capital Fund
$]]</f>
        <v>0</v>
      </c>
      <c r="Y18" s="51">
        <f>Table1215[[#Totals],[Facilities
$]]</f>
        <v>0</v>
      </c>
      <c r="Z18" s="51">
        <f>Table1215[[#Totals],[TBD
$]]</f>
        <v>0</v>
      </c>
      <c r="AA18" s="51">
        <f>Table1215[[#Totals],[Supplemental
$]]</f>
        <v>0</v>
      </c>
      <c r="AB18" s="52">
        <f>Table1215[[#Totals],[Planned Cost
$]]</f>
        <v>804738.18899999978</v>
      </c>
      <c r="AC18" s="53">
        <f>Table1215[[#Totals],[Budgeted Cost
$]]</f>
        <v>804738.18899999978</v>
      </c>
    </row>
    <row r="19" spans="1:29" ht="15" customHeight="1" x14ac:dyDescent="0.3">
      <c r="A19" s="54">
        <v>1</v>
      </c>
      <c r="B19" s="83" t="s">
        <v>136</v>
      </c>
      <c r="C19" s="84"/>
      <c r="D19" s="84" t="s">
        <v>112</v>
      </c>
      <c r="E19" s="85"/>
      <c r="F19" s="86"/>
      <c r="G19" s="87"/>
      <c r="H19" s="87"/>
      <c r="I19" s="88" t="s">
        <v>27</v>
      </c>
      <c r="J19" s="88" t="s">
        <v>38</v>
      </c>
      <c r="K19" s="166" cm="1">
        <f t="array" ref="K19">ROUNDUP(INDEX('Drop Downs'!$E$4:$N$18,'Drop Downs'!U4,'Drop Downs'!V4)*'Drop Downs'!$G$24,2)</f>
        <v>32.57</v>
      </c>
      <c r="L19" s="89">
        <v>0.45</v>
      </c>
      <c r="M19" s="88">
        <v>80</v>
      </c>
      <c r="N19" s="88">
        <v>26</v>
      </c>
      <c r="O19" s="90">
        <f>Table1215[[#This Row],[Base
Hourly
]]*(1+Table1215[[#This Row],[EBC]])</f>
        <v>47.226500000000001</v>
      </c>
      <c r="P19" s="90">
        <f>IF(Table1215[[#This Row],[Pay Periods per FY]]=26,2087*Table1215[[#This Row],[Base Hourly
w/EBCs
$]],Table1215[[#This Row],[Base Hourly
w/EBCs
$]]*Table1215[[#This Row],[Hours per Pay Period]]*Table1215[[#This Row],[Pay Periods per FY]])</f>
        <v>98561.705499999996</v>
      </c>
      <c r="Q19" s="137"/>
      <c r="R19" s="138">
        <v>1200</v>
      </c>
      <c r="S19" s="139">
        <v>1200</v>
      </c>
      <c r="T19" s="140">
        <v>1200</v>
      </c>
      <c r="U19" s="169"/>
      <c r="V19" s="9"/>
      <c r="W19" s="9"/>
      <c r="X19" s="9"/>
      <c r="Y19" s="9"/>
      <c r="Z19" s="9"/>
      <c r="AA19" s="9"/>
      <c r="AB19" s="120">
        <f>SUM(Table1215[[#This Row],[Annual Salary w/EBCs
$]:[Supplemental
$]])</f>
        <v>102161.7055</v>
      </c>
      <c r="AC19" s="121">
        <f t="shared" ref="AC19:AC57" si="2">IF(D19="Budgeted",AB19," ")</f>
        <v>102161.7055</v>
      </c>
    </row>
    <row r="20" spans="1:29" ht="15" customHeight="1" x14ac:dyDescent="0.3">
      <c r="A20" s="54">
        <v>2</v>
      </c>
      <c r="B20" s="91" t="s">
        <v>146</v>
      </c>
      <c r="C20" s="75"/>
      <c r="D20" s="75" t="s">
        <v>112</v>
      </c>
      <c r="E20" s="76"/>
      <c r="F20" s="77"/>
      <c r="G20" s="78"/>
      <c r="H20" s="78"/>
      <c r="I20" s="10" t="s">
        <v>26</v>
      </c>
      <c r="J20" s="10" t="s">
        <v>38</v>
      </c>
      <c r="K20" s="167" cm="1">
        <f t="array" ref="K20">ROUNDUP(INDEX('Drop Downs'!$E$4:$N$18,'Drop Downs'!U5,'Drop Downs'!V5)*'Drop Downs'!$G$24,2)</f>
        <v>29.490000000000002</v>
      </c>
      <c r="L20" s="79">
        <v>0.45</v>
      </c>
      <c r="M20" s="10">
        <v>80</v>
      </c>
      <c r="N20" s="81">
        <v>26</v>
      </c>
      <c r="O20" s="80">
        <f>Table1215[[#This Row],[Base
Hourly
]]*(1+Table1215[[#This Row],[EBC]])</f>
        <v>42.7605</v>
      </c>
      <c r="P20" s="80">
        <f>IF(Table1215[[#This Row],[Pay Periods per FY]]=26,2087*Table1215[[#This Row],[Base Hourly
w/EBCs
$]],Table1215[[#This Row],[Base Hourly
w/EBCs
$]]*Table1215[[#This Row],[Hours per Pay Period]]*Table1215[[#This Row],[Pay Periods per FY]])</f>
        <v>89241.163499999995</v>
      </c>
      <c r="Q20" s="194"/>
      <c r="R20" s="195">
        <v>1200</v>
      </c>
      <c r="S20" s="196">
        <v>1200</v>
      </c>
      <c r="T20" s="197">
        <v>1200</v>
      </c>
      <c r="U20" s="169"/>
      <c r="V20" s="9"/>
      <c r="W20" s="9"/>
      <c r="X20" s="9"/>
      <c r="Y20" s="9"/>
      <c r="Z20" s="9"/>
      <c r="AA20" s="9"/>
      <c r="AB20" s="120">
        <f>SUM(Table1215[[#This Row],[Annual Salary w/EBCs
$]:[Supplemental
$]])</f>
        <v>92841.163499999995</v>
      </c>
      <c r="AC20" s="121">
        <f t="shared" si="2"/>
        <v>92841.163499999995</v>
      </c>
    </row>
    <row r="21" spans="1:29" ht="15" customHeight="1" x14ac:dyDescent="0.3">
      <c r="A21" s="54">
        <v>3</v>
      </c>
      <c r="B21" s="91" t="s">
        <v>134</v>
      </c>
      <c r="C21" s="75"/>
      <c r="D21" s="75" t="s">
        <v>112</v>
      </c>
      <c r="E21" s="76"/>
      <c r="F21" s="82"/>
      <c r="G21" s="78"/>
      <c r="H21" s="78"/>
      <c r="I21" s="10" t="s">
        <v>25</v>
      </c>
      <c r="J21" s="10" t="s">
        <v>38</v>
      </c>
      <c r="K21" s="167" cm="1">
        <f t="array" ref="K21">ROUNDUP(INDEX('Drop Downs'!$E$4:$N$18,'Drop Downs'!U6,'Drop Downs'!V6)*'Drop Downs'!$G$24,2)</f>
        <v>26.630000000000003</v>
      </c>
      <c r="L21" s="79">
        <v>0.45</v>
      </c>
      <c r="M21" s="10">
        <v>80</v>
      </c>
      <c r="N21" s="10">
        <v>18</v>
      </c>
      <c r="O21" s="80">
        <f>Table1215[[#This Row],[Base
Hourly
]]*(1+Table1215[[#This Row],[EBC]])</f>
        <v>38.613500000000002</v>
      </c>
      <c r="P21" s="80">
        <f>IF(Table1215[[#This Row],[Pay Periods per FY]]=26,2087*Table1215[[#This Row],[Base Hourly
w/EBCs
$]],Table1215[[#This Row],[Base Hourly
w/EBCs
$]]*Table1215[[#This Row],[Hours per Pay Period]]*Table1215[[#This Row],[Pay Periods per FY]])</f>
        <v>55603.44</v>
      </c>
      <c r="Q21" s="194"/>
      <c r="R21" s="195">
        <v>1200</v>
      </c>
      <c r="S21" s="196">
        <v>1200</v>
      </c>
      <c r="T21" s="197">
        <v>1200</v>
      </c>
      <c r="U21" s="169"/>
      <c r="V21" s="9"/>
      <c r="W21" s="9"/>
      <c r="X21" s="9"/>
      <c r="Y21" s="9"/>
      <c r="Z21" s="9"/>
      <c r="AA21" s="9"/>
      <c r="AB21" s="120">
        <f>SUM(Table1215[[#This Row],[Annual Salary w/EBCs
$]:[Supplemental
$]])</f>
        <v>59203.44</v>
      </c>
      <c r="AC21" s="121">
        <f t="shared" si="2"/>
        <v>59203.44</v>
      </c>
    </row>
    <row r="22" spans="1:29" ht="15" customHeight="1" x14ac:dyDescent="0.3">
      <c r="A22" s="54">
        <v>4</v>
      </c>
      <c r="B22" s="91" t="s">
        <v>134</v>
      </c>
      <c r="C22" s="75"/>
      <c r="D22" s="75" t="s">
        <v>112</v>
      </c>
      <c r="E22" s="76"/>
      <c r="F22" s="82"/>
      <c r="G22" s="78"/>
      <c r="H22" s="78"/>
      <c r="I22" s="10" t="s">
        <v>25</v>
      </c>
      <c r="J22" s="10" t="s">
        <v>38</v>
      </c>
      <c r="K22" s="167" cm="1">
        <f t="array" ref="K22">ROUNDUP(INDEX('Drop Downs'!$E$4:$N$18,'Drop Downs'!U7,'Drop Downs'!V7)*'Drop Downs'!$G$24,2)</f>
        <v>26.630000000000003</v>
      </c>
      <c r="L22" s="79">
        <v>0.45</v>
      </c>
      <c r="M22" s="10">
        <v>80</v>
      </c>
      <c r="N22" s="10">
        <v>18</v>
      </c>
      <c r="O22" s="80">
        <f>Table1215[[#This Row],[Base
Hourly
]]*(1+Table1215[[#This Row],[EBC]])</f>
        <v>38.613500000000002</v>
      </c>
      <c r="P22" s="80">
        <f>IF(Table1215[[#This Row],[Pay Periods per FY]]=26,2087*Table1215[[#This Row],[Base Hourly
w/EBCs
$]],Table1215[[#This Row],[Base Hourly
w/EBCs
$]]*Table1215[[#This Row],[Hours per Pay Period]]*Table1215[[#This Row],[Pay Periods per FY]])</f>
        <v>55603.44</v>
      </c>
      <c r="Q22" s="194"/>
      <c r="R22" s="195">
        <v>1200</v>
      </c>
      <c r="S22" s="196">
        <v>1200</v>
      </c>
      <c r="T22" s="197">
        <v>1200</v>
      </c>
      <c r="U22" s="169"/>
      <c r="V22" s="9"/>
      <c r="W22" s="9"/>
      <c r="X22" s="9"/>
      <c r="Y22" s="9"/>
      <c r="Z22" s="9"/>
      <c r="AA22" s="9"/>
      <c r="AB22" s="120">
        <f>SUM(Table1215[[#This Row],[Annual Salary w/EBCs
$]:[Supplemental
$]])</f>
        <v>59203.44</v>
      </c>
      <c r="AC22" s="121">
        <f t="shared" si="2"/>
        <v>59203.44</v>
      </c>
    </row>
    <row r="23" spans="1:29" ht="15" customHeight="1" x14ac:dyDescent="0.3">
      <c r="A23" s="54">
        <v>5</v>
      </c>
      <c r="B23" s="91" t="s">
        <v>134</v>
      </c>
      <c r="C23" s="75"/>
      <c r="D23" s="75" t="s">
        <v>112</v>
      </c>
      <c r="E23" s="76"/>
      <c r="F23" s="77"/>
      <c r="G23" s="78"/>
      <c r="H23" s="78"/>
      <c r="I23" s="10" t="s">
        <v>25</v>
      </c>
      <c r="J23" s="10" t="s">
        <v>38</v>
      </c>
      <c r="K23" s="167" cm="1">
        <f t="array" ref="K23">ROUNDUP(INDEX('Drop Downs'!$E$4:$N$18,'Drop Downs'!U8,'Drop Downs'!V8)*'Drop Downs'!$G$24,2)</f>
        <v>26.630000000000003</v>
      </c>
      <c r="L23" s="79">
        <v>0.45</v>
      </c>
      <c r="M23" s="10">
        <v>80</v>
      </c>
      <c r="N23" s="10">
        <v>18</v>
      </c>
      <c r="O23" s="80">
        <f>Table1215[[#This Row],[Base
Hourly
]]*(1+Table1215[[#This Row],[EBC]])</f>
        <v>38.613500000000002</v>
      </c>
      <c r="P23" s="80">
        <f>IF(Table1215[[#This Row],[Pay Periods per FY]]=26,2087*Table1215[[#This Row],[Base Hourly
w/EBCs
$]],Table1215[[#This Row],[Base Hourly
w/EBCs
$]]*Table1215[[#This Row],[Hours per Pay Period]]*Table1215[[#This Row],[Pay Periods per FY]])</f>
        <v>55603.44</v>
      </c>
      <c r="Q23" s="194"/>
      <c r="R23" s="195">
        <v>1200</v>
      </c>
      <c r="S23" s="196">
        <v>1200</v>
      </c>
      <c r="T23" s="197">
        <v>1200</v>
      </c>
      <c r="U23" s="169"/>
      <c r="V23" s="9"/>
      <c r="W23" s="9"/>
      <c r="X23" s="9"/>
      <c r="Y23" s="9"/>
      <c r="Z23" s="9"/>
      <c r="AA23" s="9"/>
      <c r="AB23" s="120">
        <f>SUM(Table1215[[#This Row],[Annual Salary w/EBCs
$]:[Supplemental
$]])</f>
        <v>59203.44</v>
      </c>
      <c r="AC23" s="121">
        <f t="shared" si="2"/>
        <v>59203.44</v>
      </c>
    </row>
    <row r="24" spans="1:29" ht="15" customHeight="1" x14ac:dyDescent="0.3">
      <c r="A24" s="54">
        <v>6</v>
      </c>
      <c r="B24" s="91" t="s">
        <v>135</v>
      </c>
      <c r="C24" s="75"/>
      <c r="D24" s="75" t="s">
        <v>112</v>
      </c>
      <c r="E24" s="76"/>
      <c r="F24" s="77"/>
      <c r="G24" s="78"/>
      <c r="H24" s="78"/>
      <c r="I24" s="10" t="s">
        <v>23</v>
      </c>
      <c r="J24" s="10" t="s">
        <v>38</v>
      </c>
      <c r="K24" s="167" cm="1">
        <f t="array" ref="K24">ROUNDUP(INDEX('Drop Downs'!$E$4:$N$18,'Drop Downs'!U9,'Drop Downs'!V9)*'Drop Downs'!$G$24,2)</f>
        <v>21.5</v>
      </c>
      <c r="L24" s="79">
        <v>0.45</v>
      </c>
      <c r="M24" s="10">
        <v>80</v>
      </c>
      <c r="N24" s="10">
        <v>13</v>
      </c>
      <c r="O24" s="80">
        <f>Table1215[[#This Row],[Base
Hourly
]]*(1+Table1215[[#This Row],[EBC]])</f>
        <v>31.175000000000001</v>
      </c>
      <c r="P24" s="80">
        <f>IF(Table1215[[#This Row],[Pay Periods per FY]]=26,2087*Table1215[[#This Row],[Base Hourly
w/EBCs
$]],Table1215[[#This Row],[Base Hourly
w/EBCs
$]]*Table1215[[#This Row],[Hours per Pay Period]]*Table1215[[#This Row],[Pay Periods per FY]])</f>
        <v>32422</v>
      </c>
      <c r="Q24" s="194"/>
      <c r="R24" s="195">
        <v>1200</v>
      </c>
      <c r="S24" s="196">
        <v>1200</v>
      </c>
      <c r="T24" s="197">
        <v>1200</v>
      </c>
      <c r="U24" s="169"/>
      <c r="V24" s="9"/>
      <c r="W24" s="9"/>
      <c r="X24" s="9"/>
      <c r="Y24" s="9"/>
      <c r="Z24" s="9"/>
      <c r="AA24" s="9"/>
      <c r="AB24" s="120">
        <f>SUM(Table1215[[#This Row],[Annual Salary w/EBCs
$]:[Supplemental
$]])</f>
        <v>36022</v>
      </c>
      <c r="AC24" s="121">
        <f t="shared" si="2"/>
        <v>36022</v>
      </c>
    </row>
    <row r="25" spans="1:29" ht="15" customHeight="1" x14ac:dyDescent="0.3">
      <c r="A25" s="54">
        <v>7</v>
      </c>
      <c r="B25" s="91" t="s">
        <v>135</v>
      </c>
      <c r="C25" s="75"/>
      <c r="D25" s="75" t="s">
        <v>112</v>
      </c>
      <c r="E25" s="76"/>
      <c r="F25" s="77"/>
      <c r="G25" s="78"/>
      <c r="H25" s="78"/>
      <c r="I25" s="10" t="s">
        <v>23</v>
      </c>
      <c r="J25" s="10" t="s">
        <v>38</v>
      </c>
      <c r="K25" s="167" cm="1">
        <f t="array" ref="K25">ROUNDUP(INDEX('Drop Downs'!$E$4:$N$18,'Drop Downs'!U10,'Drop Downs'!V10)*'Drop Downs'!$G$24,2)</f>
        <v>21.5</v>
      </c>
      <c r="L25" s="79">
        <v>0.45</v>
      </c>
      <c r="M25" s="10">
        <v>80</v>
      </c>
      <c r="N25" s="10">
        <v>13</v>
      </c>
      <c r="O25" s="80">
        <f>Table1215[[#This Row],[Base
Hourly
]]*(1+Table1215[[#This Row],[EBC]])</f>
        <v>31.175000000000001</v>
      </c>
      <c r="P25" s="80">
        <f>IF(Table1215[[#This Row],[Pay Periods per FY]]=26,2087*Table1215[[#This Row],[Base Hourly
w/EBCs
$]],Table1215[[#This Row],[Base Hourly
w/EBCs
$]]*Table1215[[#This Row],[Hours per Pay Period]]*Table1215[[#This Row],[Pay Periods per FY]])</f>
        <v>32422</v>
      </c>
      <c r="Q25" s="194"/>
      <c r="R25" s="195">
        <v>1200</v>
      </c>
      <c r="S25" s="196">
        <v>1200</v>
      </c>
      <c r="T25" s="197">
        <v>1200</v>
      </c>
      <c r="U25" s="169"/>
      <c r="V25" s="9"/>
      <c r="W25" s="9"/>
      <c r="X25" s="9"/>
      <c r="Y25" s="9"/>
      <c r="Z25" s="9"/>
      <c r="AA25" s="9"/>
      <c r="AB25" s="120">
        <f>SUM(Table1215[[#This Row],[Annual Salary w/EBCs
$]:[Supplemental
$]])</f>
        <v>36022</v>
      </c>
      <c r="AC25" s="121">
        <f t="shared" si="2"/>
        <v>36022</v>
      </c>
    </row>
    <row r="26" spans="1:29" ht="15" customHeight="1" x14ac:dyDescent="0.3">
      <c r="A26" s="54">
        <v>8</v>
      </c>
      <c r="B26" s="91" t="s">
        <v>137</v>
      </c>
      <c r="C26" s="75"/>
      <c r="D26" s="75" t="s">
        <v>112</v>
      </c>
      <c r="E26" s="76"/>
      <c r="F26" s="77"/>
      <c r="G26" s="78"/>
      <c r="H26" s="78"/>
      <c r="I26" s="10" t="s">
        <v>22</v>
      </c>
      <c r="J26" s="10" t="s">
        <v>38</v>
      </c>
      <c r="K26" s="167" cm="1">
        <f t="array" ref="K26">ROUNDUP(INDEX('Drop Downs'!$E$4:$N$18,'Drop Downs'!U11,'Drop Downs'!V11)*'Drop Downs'!$G$24,2)</f>
        <v>19.21</v>
      </c>
      <c r="L26" s="79">
        <v>0.45</v>
      </c>
      <c r="M26" s="10">
        <v>80</v>
      </c>
      <c r="N26" s="10">
        <v>11</v>
      </c>
      <c r="O26" s="80">
        <f>Table1215[[#This Row],[Base
Hourly
]]*(1+Table1215[[#This Row],[EBC]])</f>
        <v>27.854500000000002</v>
      </c>
      <c r="P26" s="80">
        <f>IF(Table1215[[#This Row],[Pay Periods per FY]]=26,2087*Table1215[[#This Row],[Base Hourly
w/EBCs
$]],Table1215[[#This Row],[Base Hourly
w/EBCs
$]]*Table1215[[#This Row],[Hours per Pay Period]]*Table1215[[#This Row],[Pay Periods per FY]])</f>
        <v>24511.960000000003</v>
      </c>
      <c r="Q26" s="194"/>
      <c r="R26" s="195">
        <v>1200</v>
      </c>
      <c r="S26" s="196">
        <v>1200</v>
      </c>
      <c r="T26" s="197">
        <v>1200</v>
      </c>
      <c r="U26" s="169"/>
      <c r="V26" s="9"/>
      <c r="W26" s="9"/>
      <c r="X26" s="9"/>
      <c r="Y26" s="9"/>
      <c r="Z26" s="9"/>
      <c r="AA26" s="9"/>
      <c r="AB26" s="120">
        <f>SUM(Table1215[[#This Row],[Annual Salary w/EBCs
$]:[Supplemental
$]])</f>
        <v>28111.960000000003</v>
      </c>
      <c r="AC26" s="121">
        <f t="shared" si="2"/>
        <v>28111.960000000003</v>
      </c>
    </row>
    <row r="27" spans="1:29" ht="15" customHeight="1" x14ac:dyDescent="0.3">
      <c r="A27" s="54">
        <v>9</v>
      </c>
      <c r="B27" s="91" t="s">
        <v>137</v>
      </c>
      <c r="C27" s="75"/>
      <c r="D27" s="75" t="s">
        <v>112</v>
      </c>
      <c r="E27" s="76"/>
      <c r="F27" s="77"/>
      <c r="G27" s="78"/>
      <c r="H27" s="78"/>
      <c r="I27" s="10" t="s">
        <v>22</v>
      </c>
      <c r="J27" s="10" t="s">
        <v>38</v>
      </c>
      <c r="K27" s="167" cm="1">
        <f t="array" ref="K27">ROUNDUP(INDEX('Drop Downs'!$E$4:$N$18,'Drop Downs'!U12,'Drop Downs'!V12)*'Drop Downs'!$G$24,2)</f>
        <v>19.21</v>
      </c>
      <c r="L27" s="79">
        <v>0.45</v>
      </c>
      <c r="M27" s="10">
        <v>80</v>
      </c>
      <c r="N27" s="10">
        <v>11</v>
      </c>
      <c r="O27" s="80">
        <f>Table1215[[#This Row],[Base
Hourly
]]*(1+Table1215[[#This Row],[EBC]])</f>
        <v>27.854500000000002</v>
      </c>
      <c r="P27" s="80">
        <f>IF(Table1215[[#This Row],[Pay Periods per FY]]=26,2087*Table1215[[#This Row],[Base Hourly
w/EBCs
$]],Table1215[[#This Row],[Base Hourly
w/EBCs
$]]*Table1215[[#This Row],[Hours per Pay Period]]*Table1215[[#This Row],[Pay Periods per FY]])</f>
        <v>24511.960000000003</v>
      </c>
      <c r="Q27" s="194"/>
      <c r="R27" s="195">
        <v>1200</v>
      </c>
      <c r="S27" s="196">
        <v>1200</v>
      </c>
      <c r="T27" s="197">
        <v>1200</v>
      </c>
      <c r="U27" s="169"/>
      <c r="V27" s="9"/>
      <c r="W27" s="9"/>
      <c r="X27" s="9"/>
      <c r="Y27" s="9"/>
      <c r="Z27" s="9"/>
      <c r="AA27" s="9"/>
      <c r="AB27" s="120">
        <f>SUM(Table1215[[#This Row],[Annual Salary w/EBCs
$]:[Supplemental
$]])</f>
        <v>28111.960000000003</v>
      </c>
      <c r="AC27" s="121">
        <f t="shared" si="2"/>
        <v>28111.960000000003</v>
      </c>
    </row>
    <row r="28" spans="1:29" ht="15" customHeight="1" x14ac:dyDescent="0.3">
      <c r="A28" s="54">
        <v>10</v>
      </c>
      <c r="B28" s="91" t="s">
        <v>137</v>
      </c>
      <c r="C28" s="75"/>
      <c r="D28" s="75" t="s">
        <v>112</v>
      </c>
      <c r="E28" s="76"/>
      <c r="F28" s="77"/>
      <c r="G28" s="78"/>
      <c r="H28" s="78"/>
      <c r="I28" s="10" t="s">
        <v>22</v>
      </c>
      <c r="J28" s="10" t="s">
        <v>38</v>
      </c>
      <c r="K28" s="167" cm="1">
        <f t="array" ref="K28">ROUNDUP(INDEX('Drop Downs'!$E$4:$N$18,'Drop Downs'!U13,'Drop Downs'!V13)*'Drop Downs'!$G$24,2)</f>
        <v>19.21</v>
      </c>
      <c r="L28" s="79">
        <v>0.45</v>
      </c>
      <c r="M28" s="10">
        <v>80</v>
      </c>
      <c r="N28" s="10">
        <v>11</v>
      </c>
      <c r="O28" s="80">
        <f>Table1215[[#This Row],[Base
Hourly
]]*(1+Table1215[[#This Row],[EBC]])</f>
        <v>27.854500000000002</v>
      </c>
      <c r="P28" s="80">
        <f>IF(Table1215[[#This Row],[Pay Periods per FY]]=26,2087*Table1215[[#This Row],[Base Hourly
w/EBCs
$]],Table1215[[#This Row],[Base Hourly
w/EBCs
$]]*Table1215[[#This Row],[Hours per Pay Period]]*Table1215[[#This Row],[Pay Periods per FY]])</f>
        <v>24511.960000000003</v>
      </c>
      <c r="Q28" s="194"/>
      <c r="R28" s="195">
        <v>1200</v>
      </c>
      <c r="S28" s="196">
        <v>1200</v>
      </c>
      <c r="T28" s="197">
        <v>1200</v>
      </c>
      <c r="U28" s="169"/>
      <c r="V28" s="9"/>
      <c r="W28" s="9"/>
      <c r="X28" s="9"/>
      <c r="Y28" s="9"/>
      <c r="Z28" s="9"/>
      <c r="AA28" s="9"/>
      <c r="AB28" s="120">
        <f>SUM(Table1215[[#This Row],[Annual Salary w/EBCs
$]:[Supplemental
$]])</f>
        <v>28111.960000000003</v>
      </c>
      <c r="AC28" s="121">
        <f t="shared" si="2"/>
        <v>28111.960000000003</v>
      </c>
    </row>
    <row r="29" spans="1:29" ht="15" customHeight="1" x14ac:dyDescent="0.3">
      <c r="A29" s="54">
        <v>11</v>
      </c>
      <c r="B29" s="91" t="s">
        <v>137</v>
      </c>
      <c r="C29" s="75"/>
      <c r="D29" s="75" t="s">
        <v>112</v>
      </c>
      <c r="E29" s="76"/>
      <c r="F29" s="77"/>
      <c r="G29" s="78"/>
      <c r="H29" s="78"/>
      <c r="I29" s="10" t="s">
        <v>22</v>
      </c>
      <c r="J29" s="10" t="s">
        <v>38</v>
      </c>
      <c r="K29" s="167" cm="1">
        <f t="array" ref="K29">ROUNDUP(INDEX('Drop Downs'!$E$4:$N$18,'Drop Downs'!U14,'Drop Downs'!V14)*'Drop Downs'!$G$24,2)</f>
        <v>19.21</v>
      </c>
      <c r="L29" s="79">
        <v>0.45</v>
      </c>
      <c r="M29" s="10">
        <v>80</v>
      </c>
      <c r="N29" s="10">
        <v>11</v>
      </c>
      <c r="O29" s="80">
        <f>Table1215[[#This Row],[Base
Hourly
]]*(1+Table1215[[#This Row],[EBC]])</f>
        <v>27.854500000000002</v>
      </c>
      <c r="P29" s="80">
        <f>IF(Table1215[[#This Row],[Pay Periods per FY]]=26,2087*Table1215[[#This Row],[Base Hourly
w/EBCs
$]],Table1215[[#This Row],[Base Hourly
w/EBCs
$]]*Table1215[[#This Row],[Hours per Pay Period]]*Table1215[[#This Row],[Pay Periods per FY]])</f>
        <v>24511.960000000003</v>
      </c>
      <c r="Q29" s="194"/>
      <c r="R29" s="195">
        <v>1200</v>
      </c>
      <c r="S29" s="196">
        <v>1200</v>
      </c>
      <c r="T29" s="197">
        <v>1200</v>
      </c>
      <c r="U29" s="169"/>
      <c r="V29" s="9"/>
      <c r="W29" s="9"/>
      <c r="X29" s="9"/>
      <c r="Y29" s="9"/>
      <c r="Z29" s="9"/>
      <c r="AA29" s="9"/>
      <c r="AB29" s="120">
        <f>SUM(Table1215[[#This Row],[Annual Salary w/EBCs
$]:[Supplemental
$]])</f>
        <v>28111.960000000003</v>
      </c>
      <c r="AC29" s="121">
        <f t="shared" si="2"/>
        <v>28111.960000000003</v>
      </c>
    </row>
    <row r="30" spans="1:29" ht="15" customHeight="1" x14ac:dyDescent="0.3">
      <c r="A30" s="54">
        <v>12</v>
      </c>
      <c r="B30" s="91" t="s">
        <v>137</v>
      </c>
      <c r="C30" s="75"/>
      <c r="D30" s="75" t="s">
        <v>112</v>
      </c>
      <c r="E30" s="76"/>
      <c r="F30" s="77"/>
      <c r="G30" s="78"/>
      <c r="H30" s="78"/>
      <c r="I30" s="10" t="s">
        <v>22</v>
      </c>
      <c r="J30" s="10" t="s">
        <v>36</v>
      </c>
      <c r="K30" s="167" cm="1">
        <f t="array" ref="K30">ROUNDUP(INDEX('Drop Downs'!$E$4:$N$18,'Drop Downs'!U15,'Drop Downs'!V15)*'Drop Downs'!$G$24,2)</f>
        <v>18.09</v>
      </c>
      <c r="L30" s="79">
        <v>0.45</v>
      </c>
      <c r="M30" s="10">
        <v>80</v>
      </c>
      <c r="N30" s="10">
        <v>11</v>
      </c>
      <c r="O30" s="80">
        <f>Table1215[[#This Row],[Base
Hourly
]]*(1+Table1215[[#This Row],[EBC]])</f>
        <v>26.230499999999999</v>
      </c>
      <c r="P30" s="80">
        <f>IF(Table1215[[#This Row],[Pay Periods per FY]]=26,2087*Table1215[[#This Row],[Base Hourly
w/EBCs
$]],Table1215[[#This Row],[Base Hourly
w/EBCs
$]]*Table1215[[#This Row],[Hours per Pay Period]]*Table1215[[#This Row],[Pay Periods per FY]])</f>
        <v>23082.84</v>
      </c>
      <c r="Q30" s="194"/>
      <c r="R30" s="195">
        <v>1200</v>
      </c>
      <c r="S30" s="196">
        <v>1200</v>
      </c>
      <c r="T30" s="197">
        <v>1200</v>
      </c>
      <c r="U30" s="169"/>
      <c r="V30" s="9"/>
      <c r="W30" s="9"/>
      <c r="X30" s="9"/>
      <c r="Y30" s="9"/>
      <c r="Z30" s="9"/>
      <c r="AA30" s="9"/>
      <c r="AB30" s="120">
        <f>SUM(Table1215[[#This Row],[Annual Salary w/EBCs
$]:[Supplemental
$]])</f>
        <v>26682.84</v>
      </c>
      <c r="AC30" s="121">
        <f t="shared" si="2"/>
        <v>26682.84</v>
      </c>
    </row>
    <row r="31" spans="1:29" ht="15" customHeight="1" x14ac:dyDescent="0.3">
      <c r="A31" s="54">
        <v>13</v>
      </c>
      <c r="B31" s="91" t="s">
        <v>137</v>
      </c>
      <c r="C31" s="75"/>
      <c r="D31" s="75" t="s">
        <v>112</v>
      </c>
      <c r="E31" s="76"/>
      <c r="F31" s="77"/>
      <c r="G31" s="78"/>
      <c r="H31" s="78"/>
      <c r="I31" s="10" t="s">
        <v>22</v>
      </c>
      <c r="J31" s="10" t="s">
        <v>36</v>
      </c>
      <c r="K31" s="167" cm="1">
        <f t="array" ref="K31">ROUNDUP(INDEX('Drop Downs'!$E$4:$N$18,'Drop Downs'!U16,'Drop Downs'!V16)*'Drop Downs'!$G$24,2)</f>
        <v>18.09</v>
      </c>
      <c r="L31" s="79">
        <v>0.45</v>
      </c>
      <c r="M31" s="10">
        <v>80</v>
      </c>
      <c r="N31" s="10">
        <v>11</v>
      </c>
      <c r="O31" s="80">
        <f>Table1215[[#This Row],[Base
Hourly
]]*(1+Table1215[[#This Row],[EBC]])</f>
        <v>26.230499999999999</v>
      </c>
      <c r="P31" s="80">
        <f>IF(Table1215[[#This Row],[Pay Periods per FY]]=26,2087*Table1215[[#This Row],[Base Hourly
w/EBCs
$]],Table1215[[#This Row],[Base Hourly
w/EBCs
$]]*Table1215[[#This Row],[Hours per Pay Period]]*Table1215[[#This Row],[Pay Periods per FY]])</f>
        <v>23082.84</v>
      </c>
      <c r="Q31" s="194"/>
      <c r="R31" s="195">
        <v>1200</v>
      </c>
      <c r="S31" s="196">
        <v>1200</v>
      </c>
      <c r="T31" s="197">
        <v>1200</v>
      </c>
      <c r="U31" s="169"/>
      <c r="V31" s="9"/>
      <c r="W31" s="9"/>
      <c r="X31" s="9"/>
      <c r="Y31" s="9"/>
      <c r="Z31" s="9"/>
      <c r="AA31" s="9"/>
      <c r="AB31" s="120">
        <f>SUM(Table1215[[#This Row],[Annual Salary w/EBCs
$]:[Supplemental
$]])</f>
        <v>26682.84</v>
      </c>
      <c r="AC31" s="121">
        <f t="shared" si="2"/>
        <v>26682.84</v>
      </c>
    </row>
    <row r="32" spans="1:29" ht="15" customHeight="1" x14ac:dyDescent="0.3">
      <c r="A32" s="54">
        <v>14</v>
      </c>
      <c r="B32" s="91" t="s">
        <v>137</v>
      </c>
      <c r="C32" s="75"/>
      <c r="D32" s="75" t="s">
        <v>112</v>
      </c>
      <c r="E32" s="76"/>
      <c r="F32" s="77"/>
      <c r="G32" s="78"/>
      <c r="H32" s="78"/>
      <c r="I32" s="10" t="s">
        <v>22</v>
      </c>
      <c r="J32" s="10" t="s">
        <v>36</v>
      </c>
      <c r="K32" s="167" cm="1">
        <f t="array" ref="K32">ROUNDUP(INDEX('Drop Downs'!$E$4:$N$18,'Drop Downs'!U17,'Drop Downs'!V17)*'Drop Downs'!$G$24,2)</f>
        <v>18.09</v>
      </c>
      <c r="L32" s="79">
        <v>0.45</v>
      </c>
      <c r="M32" s="10">
        <v>80</v>
      </c>
      <c r="N32" s="10">
        <v>11</v>
      </c>
      <c r="O32" s="80">
        <f>Table1215[[#This Row],[Base
Hourly
]]*(1+Table1215[[#This Row],[EBC]])</f>
        <v>26.230499999999999</v>
      </c>
      <c r="P32" s="80">
        <f>IF(Table1215[[#This Row],[Pay Periods per FY]]=26,2087*Table1215[[#This Row],[Base Hourly
w/EBCs
$]],Table1215[[#This Row],[Base Hourly
w/EBCs
$]]*Table1215[[#This Row],[Hours per Pay Period]]*Table1215[[#This Row],[Pay Periods per FY]])</f>
        <v>23082.84</v>
      </c>
      <c r="Q32" s="194"/>
      <c r="R32" s="195">
        <v>1200</v>
      </c>
      <c r="S32" s="196">
        <v>1200</v>
      </c>
      <c r="T32" s="197">
        <v>1200</v>
      </c>
      <c r="U32" s="169"/>
      <c r="V32" s="9"/>
      <c r="W32" s="9"/>
      <c r="X32" s="9"/>
      <c r="Y32" s="9"/>
      <c r="Z32" s="9"/>
      <c r="AA32" s="9"/>
      <c r="AB32" s="120">
        <f>SUM(Table1215[[#This Row],[Annual Salary w/EBCs
$]:[Supplemental
$]])</f>
        <v>26682.84</v>
      </c>
      <c r="AC32" s="121">
        <f t="shared" si="2"/>
        <v>26682.84</v>
      </c>
    </row>
    <row r="33" spans="1:29" ht="15" customHeight="1" x14ac:dyDescent="0.3">
      <c r="A33" s="54">
        <v>15</v>
      </c>
      <c r="B33" s="91" t="s">
        <v>137</v>
      </c>
      <c r="C33" s="75"/>
      <c r="D33" s="75" t="s">
        <v>112</v>
      </c>
      <c r="E33" s="76"/>
      <c r="F33" s="77"/>
      <c r="G33" s="78"/>
      <c r="H33" s="78"/>
      <c r="I33" s="10" t="s">
        <v>22</v>
      </c>
      <c r="J33" s="10" t="s">
        <v>36</v>
      </c>
      <c r="K33" s="167" cm="1">
        <f t="array" ref="K33">ROUNDUP(INDEX('Drop Downs'!$E$4:$N$18,'Drop Downs'!U18,'Drop Downs'!V18)*'Drop Downs'!$G$24,2)</f>
        <v>18.09</v>
      </c>
      <c r="L33" s="79">
        <v>0.45</v>
      </c>
      <c r="M33" s="10">
        <v>80</v>
      </c>
      <c r="N33" s="10">
        <v>11</v>
      </c>
      <c r="O33" s="80">
        <f>Table1215[[#This Row],[Base
Hourly
]]*(1+Table1215[[#This Row],[EBC]])</f>
        <v>26.230499999999999</v>
      </c>
      <c r="P33" s="80">
        <f>IF(Table1215[[#This Row],[Pay Periods per FY]]=26,2087*Table1215[[#This Row],[Base Hourly
w/EBCs
$]],Table1215[[#This Row],[Base Hourly
w/EBCs
$]]*Table1215[[#This Row],[Hours per Pay Period]]*Table1215[[#This Row],[Pay Periods per FY]])</f>
        <v>23082.84</v>
      </c>
      <c r="Q33" s="194"/>
      <c r="R33" s="195">
        <v>1200</v>
      </c>
      <c r="S33" s="196">
        <v>1200</v>
      </c>
      <c r="T33" s="197">
        <v>1200</v>
      </c>
      <c r="U33" s="169"/>
      <c r="V33" s="9"/>
      <c r="W33" s="9"/>
      <c r="X33" s="9"/>
      <c r="Y33" s="9"/>
      <c r="Z33" s="9"/>
      <c r="AA33" s="9"/>
      <c r="AB33" s="120">
        <f>SUM(Table1215[[#This Row],[Annual Salary w/EBCs
$]:[Supplemental
$]])</f>
        <v>26682.84</v>
      </c>
      <c r="AC33" s="121">
        <f t="shared" si="2"/>
        <v>26682.84</v>
      </c>
    </row>
    <row r="34" spans="1:29" ht="15" customHeight="1" x14ac:dyDescent="0.3">
      <c r="A34" s="54">
        <v>16</v>
      </c>
      <c r="B34" s="91" t="s">
        <v>137</v>
      </c>
      <c r="C34" s="75"/>
      <c r="D34" s="75" t="s">
        <v>112</v>
      </c>
      <c r="E34" s="76"/>
      <c r="F34" s="77"/>
      <c r="G34" s="78"/>
      <c r="H34" s="78"/>
      <c r="I34" s="10" t="s">
        <v>21</v>
      </c>
      <c r="J34" s="10" t="s">
        <v>34</v>
      </c>
      <c r="K34" s="167" cm="1">
        <f t="array" ref="K34">ROUNDUP(INDEX('Drop Downs'!$E$4:$N$18,'Drop Downs'!U19,'Drop Downs'!V19)*'Drop Downs'!$G$24,2)</f>
        <v>15.11</v>
      </c>
      <c r="L34" s="79">
        <v>0.45</v>
      </c>
      <c r="M34" s="10">
        <v>80</v>
      </c>
      <c r="N34" s="10">
        <v>11</v>
      </c>
      <c r="O34" s="80">
        <f>Table1215[[#This Row],[Base
Hourly
]]*(1+Table1215[[#This Row],[EBC]])</f>
        <v>21.909499999999998</v>
      </c>
      <c r="P34" s="80">
        <f>IF(Table1215[[#This Row],[Pay Periods per FY]]=26,2087*Table1215[[#This Row],[Base Hourly
w/EBCs
$]],Table1215[[#This Row],[Base Hourly
w/EBCs
$]]*Table1215[[#This Row],[Hours per Pay Period]]*Table1215[[#This Row],[Pay Periods per FY]])</f>
        <v>19280.359999999997</v>
      </c>
      <c r="Q34" s="194"/>
      <c r="R34" s="195">
        <v>1200</v>
      </c>
      <c r="S34" s="196">
        <v>1200</v>
      </c>
      <c r="T34" s="197">
        <v>1200</v>
      </c>
      <c r="U34" s="169"/>
      <c r="V34" s="9"/>
      <c r="W34" s="9"/>
      <c r="X34" s="9"/>
      <c r="Y34" s="9"/>
      <c r="Z34" s="9"/>
      <c r="AA34" s="9"/>
      <c r="AB34" s="120">
        <f>SUM(Table1215[[#This Row],[Annual Salary w/EBCs
$]:[Supplemental
$]])</f>
        <v>22880.359999999997</v>
      </c>
      <c r="AC34" s="121">
        <f t="shared" si="2"/>
        <v>22880.359999999997</v>
      </c>
    </row>
    <row r="35" spans="1:29" ht="15" customHeight="1" x14ac:dyDescent="0.3">
      <c r="A35" s="54">
        <v>17</v>
      </c>
      <c r="B35" s="91" t="s">
        <v>137</v>
      </c>
      <c r="C35" s="75"/>
      <c r="D35" s="75" t="s">
        <v>112</v>
      </c>
      <c r="E35" s="76"/>
      <c r="F35" s="77"/>
      <c r="G35" s="78"/>
      <c r="H35" s="78"/>
      <c r="I35" s="10" t="s">
        <v>21</v>
      </c>
      <c r="J35" s="10" t="s">
        <v>34</v>
      </c>
      <c r="K35" s="167" cm="1">
        <f t="array" ref="K35">ROUNDUP(INDEX('Drop Downs'!$E$4:$N$18,'Drop Downs'!U20,'Drop Downs'!V20)*'Drop Downs'!$G$24,2)</f>
        <v>15.11</v>
      </c>
      <c r="L35" s="79">
        <v>0.45</v>
      </c>
      <c r="M35" s="10">
        <v>80</v>
      </c>
      <c r="N35" s="10">
        <v>11</v>
      </c>
      <c r="O35" s="80">
        <f>Table1215[[#This Row],[Base
Hourly
]]*(1+Table1215[[#This Row],[EBC]])</f>
        <v>21.909499999999998</v>
      </c>
      <c r="P35" s="80">
        <f>IF(Table1215[[#This Row],[Pay Periods per FY]]=26,2087*Table1215[[#This Row],[Base Hourly
w/EBCs
$]],Table1215[[#This Row],[Base Hourly
w/EBCs
$]]*Table1215[[#This Row],[Hours per Pay Period]]*Table1215[[#This Row],[Pay Periods per FY]])</f>
        <v>19280.359999999997</v>
      </c>
      <c r="Q35" s="194"/>
      <c r="R35" s="195">
        <v>1200</v>
      </c>
      <c r="S35" s="196">
        <v>1200</v>
      </c>
      <c r="T35" s="197">
        <v>1200</v>
      </c>
      <c r="U35" s="169"/>
      <c r="V35" s="9"/>
      <c r="W35" s="9"/>
      <c r="X35" s="9"/>
      <c r="Y35" s="9"/>
      <c r="Z35" s="9"/>
      <c r="AA35" s="9"/>
      <c r="AB35" s="120">
        <f>SUM(Table1215[[#This Row],[Annual Salary w/EBCs
$]:[Supplemental
$]])</f>
        <v>22880.359999999997</v>
      </c>
      <c r="AC35" s="121">
        <f t="shared" si="2"/>
        <v>22880.359999999997</v>
      </c>
    </row>
    <row r="36" spans="1:29" ht="15" customHeight="1" x14ac:dyDescent="0.3">
      <c r="A36" s="54">
        <v>18</v>
      </c>
      <c r="B36" s="91" t="s">
        <v>137</v>
      </c>
      <c r="C36" s="75"/>
      <c r="D36" s="75" t="s">
        <v>112</v>
      </c>
      <c r="E36" s="76"/>
      <c r="F36" s="77"/>
      <c r="G36" s="78"/>
      <c r="H36" s="78"/>
      <c r="I36" s="10" t="s">
        <v>21</v>
      </c>
      <c r="J36" s="10" t="s">
        <v>34</v>
      </c>
      <c r="K36" s="167" cm="1">
        <f t="array" ref="K36">ROUNDUP(INDEX('Drop Downs'!$E$4:$N$18,'Drop Downs'!U21,'Drop Downs'!V21)*'Drop Downs'!$G$24,2)</f>
        <v>15.11</v>
      </c>
      <c r="L36" s="79">
        <v>0.45</v>
      </c>
      <c r="M36" s="10">
        <v>80</v>
      </c>
      <c r="N36" s="10">
        <v>11</v>
      </c>
      <c r="O36" s="80">
        <f>Table1215[[#This Row],[Base
Hourly
]]*(1+Table1215[[#This Row],[EBC]])</f>
        <v>21.909499999999998</v>
      </c>
      <c r="P36" s="80">
        <f>IF(Table1215[[#This Row],[Pay Periods per FY]]=26,2087*Table1215[[#This Row],[Base Hourly
w/EBCs
$]],Table1215[[#This Row],[Base Hourly
w/EBCs
$]]*Table1215[[#This Row],[Hours per Pay Period]]*Table1215[[#This Row],[Pay Periods per FY]])</f>
        <v>19280.359999999997</v>
      </c>
      <c r="Q36" s="194"/>
      <c r="R36" s="195">
        <v>1200</v>
      </c>
      <c r="S36" s="196">
        <v>1200</v>
      </c>
      <c r="T36" s="197">
        <v>1200</v>
      </c>
      <c r="U36" s="169"/>
      <c r="V36" s="9"/>
      <c r="W36" s="9"/>
      <c r="X36" s="9"/>
      <c r="Y36" s="9"/>
      <c r="Z36" s="9"/>
      <c r="AA36" s="9"/>
      <c r="AB36" s="120">
        <f>SUM(Table1215[[#This Row],[Annual Salary w/EBCs
$]:[Supplemental
$]])</f>
        <v>22880.359999999997</v>
      </c>
      <c r="AC36" s="121">
        <f t="shared" si="2"/>
        <v>22880.359999999997</v>
      </c>
    </row>
    <row r="37" spans="1:29" ht="15" customHeight="1" x14ac:dyDescent="0.3">
      <c r="A37" s="54">
        <v>19</v>
      </c>
      <c r="B37" s="91" t="s">
        <v>137</v>
      </c>
      <c r="C37" s="75"/>
      <c r="D37" s="75" t="s">
        <v>112</v>
      </c>
      <c r="E37" s="76"/>
      <c r="F37" s="77"/>
      <c r="G37" s="78"/>
      <c r="H37" s="78"/>
      <c r="I37" s="10" t="s">
        <v>21</v>
      </c>
      <c r="J37" s="10" t="s">
        <v>34</v>
      </c>
      <c r="K37" s="167" cm="1">
        <f t="array" ref="K37">ROUNDUP(INDEX('Drop Downs'!$E$4:$N$18,'Drop Downs'!U22,'Drop Downs'!V22)*'Drop Downs'!$G$24,2)</f>
        <v>15.11</v>
      </c>
      <c r="L37" s="79">
        <v>0.45</v>
      </c>
      <c r="M37" s="10">
        <v>80</v>
      </c>
      <c r="N37" s="10">
        <v>11</v>
      </c>
      <c r="O37" s="80">
        <f>Table1215[[#This Row],[Base
Hourly
]]*(1+Table1215[[#This Row],[EBC]])</f>
        <v>21.909499999999998</v>
      </c>
      <c r="P37" s="80">
        <f>IF(Table1215[[#This Row],[Pay Periods per FY]]=26,2087*Table1215[[#This Row],[Base Hourly
w/EBCs
$]],Table1215[[#This Row],[Base Hourly
w/EBCs
$]]*Table1215[[#This Row],[Hours per Pay Period]]*Table1215[[#This Row],[Pay Periods per FY]])</f>
        <v>19280.359999999997</v>
      </c>
      <c r="Q37" s="194"/>
      <c r="R37" s="195">
        <v>1200</v>
      </c>
      <c r="S37" s="196">
        <v>1200</v>
      </c>
      <c r="T37" s="197">
        <v>1200</v>
      </c>
      <c r="U37" s="169"/>
      <c r="V37" s="9"/>
      <c r="W37" s="9"/>
      <c r="X37" s="9"/>
      <c r="Y37" s="9"/>
      <c r="Z37" s="9"/>
      <c r="AA37" s="9"/>
      <c r="AB37" s="120">
        <f>SUM(Table1215[[#This Row],[Annual Salary w/EBCs
$]:[Supplemental
$]])</f>
        <v>22880.359999999997</v>
      </c>
      <c r="AC37" s="121">
        <f t="shared" si="2"/>
        <v>22880.359999999997</v>
      </c>
    </row>
    <row r="38" spans="1:29" ht="15" customHeight="1" x14ac:dyDescent="0.3">
      <c r="A38" s="54">
        <v>20</v>
      </c>
      <c r="B38" s="91" t="s">
        <v>137</v>
      </c>
      <c r="C38" s="75"/>
      <c r="D38" s="75" t="s">
        <v>112</v>
      </c>
      <c r="E38" s="76"/>
      <c r="F38" s="77"/>
      <c r="G38" s="78"/>
      <c r="H38" s="78"/>
      <c r="I38" s="10" t="s">
        <v>21</v>
      </c>
      <c r="J38" s="10" t="s">
        <v>34</v>
      </c>
      <c r="K38" s="167" cm="1">
        <f t="array" ref="K38">ROUNDUP(INDEX('Drop Downs'!$E$4:$N$18,'Drop Downs'!U23,'Drop Downs'!V23)*'Drop Downs'!$G$24,2)</f>
        <v>15.11</v>
      </c>
      <c r="L38" s="79">
        <v>0.45</v>
      </c>
      <c r="M38" s="10">
        <v>80</v>
      </c>
      <c r="N38" s="10">
        <v>11</v>
      </c>
      <c r="O38" s="80">
        <f>Table1215[[#This Row],[Base
Hourly
]]*(1+Table1215[[#This Row],[EBC]])</f>
        <v>21.909499999999998</v>
      </c>
      <c r="P38" s="80">
        <f>IF(Table1215[[#This Row],[Pay Periods per FY]]=26,2087*Table1215[[#This Row],[Base Hourly
w/EBCs
$]],Table1215[[#This Row],[Base Hourly
w/EBCs
$]]*Table1215[[#This Row],[Hours per Pay Period]]*Table1215[[#This Row],[Pay Periods per FY]])</f>
        <v>19280.359999999997</v>
      </c>
      <c r="Q38" s="194"/>
      <c r="R38" s="195">
        <v>1200</v>
      </c>
      <c r="S38" s="196">
        <v>1200</v>
      </c>
      <c r="T38" s="197">
        <v>1200</v>
      </c>
      <c r="U38" s="169"/>
      <c r="V38" s="9"/>
      <c r="W38" s="9"/>
      <c r="X38" s="9"/>
      <c r="Y38" s="9"/>
      <c r="Z38" s="9"/>
      <c r="AA38" s="9"/>
      <c r="AB38" s="120">
        <f>SUM(Table1215[[#This Row],[Annual Salary w/EBCs
$]:[Supplemental
$]])</f>
        <v>22880.359999999997</v>
      </c>
      <c r="AC38" s="121">
        <f>IF(D38="Budgeted",AB38," ")</f>
        <v>22880.359999999997</v>
      </c>
    </row>
    <row r="39" spans="1:29" ht="15" customHeight="1" x14ac:dyDescent="0.3">
      <c r="A39" s="54">
        <v>21</v>
      </c>
      <c r="B39" s="91" t="s">
        <v>137</v>
      </c>
      <c r="C39" s="75"/>
      <c r="D39" s="75" t="s">
        <v>111</v>
      </c>
      <c r="E39" s="76"/>
      <c r="F39" s="77"/>
      <c r="G39" s="78"/>
      <c r="H39" s="78"/>
      <c r="I39" s="10" t="s">
        <v>21</v>
      </c>
      <c r="J39" s="10" t="s">
        <v>34</v>
      </c>
      <c r="K39" s="167" cm="1">
        <f t="array" ref="K39">ROUNDUP(INDEX('Drop Downs'!$E$4:$N$18,'Drop Downs'!U24,'Drop Downs'!V24)*'Drop Downs'!$G$24,2)</f>
        <v>15.11</v>
      </c>
      <c r="L39" s="79">
        <v>0.3</v>
      </c>
      <c r="M39" s="10">
        <v>80</v>
      </c>
      <c r="N39" s="10">
        <v>0</v>
      </c>
      <c r="O39" s="80">
        <f>Table1215[[#This Row],[Base
Hourly
]]*(1+Table1215[[#This Row],[EBC]])</f>
        <v>19.643000000000001</v>
      </c>
      <c r="P39" s="80">
        <f>IF(Table1215[[#This Row],[Pay Periods per FY]]=26,2087*Table1215[[#This Row],[Base Hourly
w/EBCs
$]],Table1215[[#This Row],[Base Hourly
w/EBCs
$]]*Table1215[[#This Row],[Hours per Pay Period]]*Table1215[[#This Row],[Pay Periods per FY]])</f>
        <v>0</v>
      </c>
      <c r="Q39" s="67"/>
      <c r="R39" s="8"/>
      <c r="S39" s="9"/>
      <c r="T39" s="133"/>
      <c r="U39" s="169"/>
      <c r="V39" s="9"/>
      <c r="W39" s="9"/>
      <c r="X39" s="9"/>
      <c r="Y39" s="9"/>
      <c r="Z39" s="9"/>
      <c r="AA39" s="9"/>
      <c r="AB39" s="120">
        <f>SUM(Table1215[[#This Row],[Annual Salary w/EBCs
$]:[Supplemental
$]])</f>
        <v>0</v>
      </c>
      <c r="AC39" s="121" t="str">
        <f t="shared" si="2"/>
        <v xml:space="preserve"> </v>
      </c>
    </row>
    <row r="40" spans="1:29" ht="15" customHeight="1" x14ac:dyDescent="0.3">
      <c r="A40" s="54">
        <v>22</v>
      </c>
      <c r="B40" s="91" t="s">
        <v>137</v>
      </c>
      <c r="C40" s="75"/>
      <c r="D40" s="75" t="s">
        <v>111</v>
      </c>
      <c r="E40" s="76"/>
      <c r="F40" s="77"/>
      <c r="G40" s="78"/>
      <c r="H40" s="78"/>
      <c r="I40" s="10" t="s">
        <v>21</v>
      </c>
      <c r="J40" s="10" t="s">
        <v>34</v>
      </c>
      <c r="K40" s="167" cm="1">
        <f t="array" ref="K40">ROUNDUP(INDEX('Drop Downs'!$E$4:$N$18,'Drop Downs'!U25,'Drop Downs'!V25)*'Drop Downs'!$G$24,2)</f>
        <v>15.11</v>
      </c>
      <c r="L40" s="79">
        <v>0.3</v>
      </c>
      <c r="M40" s="10">
        <v>80</v>
      </c>
      <c r="N40" s="10">
        <v>0</v>
      </c>
      <c r="O40" s="80">
        <f>Table1215[[#This Row],[Base
Hourly
]]*(1+Table1215[[#This Row],[EBC]])</f>
        <v>19.643000000000001</v>
      </c>
      <c r="P40" s="80">
        <f>IF(Table1215[[#This Row],[Pay Periods per FY]]=26,2087*Table1215[[#This Row],[Base Hourly
w/EBCs
$]],Table1215[[#This Row],[Base Hourly
w/EBCs
$]]*Table1215[[#This Row],[Hours per Pay Period]]*Table1215[[#This Row],[Pay Periods per FY]])</f>
        <v>0</v>
      </c>
      <c r="Q40" s="67"/>
      <c r="R40" s="8"/>
      <c r="S40" s="9"/>
      <c r="T40" s="133"/>
      <c r="U40" s="169"/>
      <c r="V40" s="9"/>
      <c r="W40" s="9"/>
      <c r="X40" s="9"/>
      <c r="Y40" s="9"/>
      <c r="Z40" s="9"/>
      <c r="AA40" s="9"/>
      <c r="AB40" s="120">
        <f>SUM(Table1215[[#This Row],[Annual Salary w/EBCs
$]:[Supplemental
$]])</f>
        <v>0</v>
      </c>
      <c r="AC40" s="121" t="str">
        <f t="shared" si="2"/>
        <v xml:space="preserve"> </v>
      </c>
    </row>
    <row r="41" spans="1:29" ht="15" customHeight="1" x14ac:dyDescent="0.3">
      <c r="A41" s="54">
        <v>23</v>
      </c>
      <c r="B41" s="91" t="s">
        <v>137</v>
      </c>
      <c r="C41" s="75"/>
      <c r="D41" s="75" t="s">
        <v>111</v>
      </c>
      <c r="E41" s="76"/>
      <c r="F41" s="77"/>
      <c r="G41" s="78"/>
      <c r="H41" s="78"/>
      <c r="I41" s="10" t="s">
        <v>21</v>
      </c>
      <c r="J41" s="10" t="s">
        <v>34</v>
      </c>
      <c r="K41" s="167" cm="1">
        <f t="array" ref="K41">ROUNDUP(INDEX('Drop Downs'!$E$4:$N$18,'Drop Downs'!U26,'Drop Downs'!V26)*'Drop Downs'!$G$24,2)</f>
        <v>15.11</v>
      </c>
      <c r="L41" s="79">
        <v>0.3</v>
      </c>
      <c r="M41" s="10">
        <v>80</v>
      </c>
      <c r="N41" s="10">
        <v>0</v>
      </c>
      <c r="O41" s="80">
        <f>Table1215[[#This Row],[Base
Hourly
]]*(1+Table1215[[#This Row],[EBC]])</f>
        <v>19.643000000000001</v>
      </c>
      <c r="P41" s="80">
        <f>IF(Table1215[[#This Row],[Pay Periods per FY]]=26,2087*Table1215[[#This Row],[Base Hourly
w/EBCs
$]],Table1215[[#This Row],[Base Hourly
w/EBCs
$]]*Table1215[[#This Row],[Hours per Pay Period]]*Table1215[[#This Row],[Pay Periods per FY]])</f>
        <v>0</v>
      </c>
      <c r="Q41" s="67"/>
      <c r="R41" s="8"/>
      <c r="S41" s="9"/>
      <c r="T41" s="133"/>
      <c r="U41" s="169"/>
      <c r="V41" s="9"/>
      <c r="W41" s="9"/>
      <c r="X41" s="9"/>
      <c r="Y41" s="9"/>
      <c r="Z41" s="9"/>
      <c r="AA41" s="9"/>
      <c r="AB41" s="120">
        <f>SUM(Table1215[[#This Row],[Annual Salary w/EBCs
$]:[Supplemental
$]])</f>
        <v>0</v>
      </c>
      <c r="AC41" s="121" t="str">
        <f t="shared" si="2"/>
        <v xml:space="preserve"> </v>
      </c>
    </row>
    <row r="42" spans="1:29" s="55" customFormat="1" ht="15" customHeight="1" thickBot="1" x14ac:dyDescent="0.35">
      <c r="A42" s="54">
        <v>24</v>
      </c>
      <c r="B42" s="92" t="s">
        <v>137</v>
      </c>
      <c r="C42" s="93"/>
      <c r="D42" s="93" t="s">
        <v>111</v>
      </c>
      <c r="E42" s="94"/>
      <c r="F42" s="95"/>
      <c r="G42" s="96"/>
      <c r="H42" s="96"/>
      <c r="I42" s="68" t="s">
        <v>21</v>
      </c>
      <c r="J42" s="68" t="s">
        <v>34</v>
      </c>
      <c r="K42" s="168" cm="1">
        <f t="array" ref="K42">ROUNDUP(INDEX('Drop Downs'!$E$4:$N$18,'Drop Downs'!U27,'Drop Downs'!V27)*'Drop Downs'!$G$24,2)</f>
        <v>15.11</v>
      </c>
      <c r="L42" s="97">
        <v>0.3</v>
      </c>
      <c r="M42" s="68">
        <v>80</v>
      </c>
      <c r="N42" s="68">
        <v>0</v>
      </c>
      <c r="O42" s="98">
        <f>Table1215[[#This Row],[Base
Hourly
]]*(1+Table1215[[#This Row],[EBC]])</f>
        <v>19.643000000000001</v>
      </c>
      <c r="P42" s="98">
        <f>IF(Table1215[[#This Row],[Pay Periods per FY]]=26,2087*Table1215[[#This Row],[Base Hourly
w/EBCs
$]],Table1215[[#This Row],[Base Hourly
w/EBCs
$]]*Table1215[[#This Row],[Hours per Pay Period]]*Table1215[[#This Row],[Pay Periods per FY]])</f>
        <v>0</v>
      </c>
      <c r="Q42" s="170"/>
      <c r="R42" s="141"/>
      <c r="S42" s="134"/>
      <c r="T42" s="135"/>
      <c r="U42" s="169"/>
      <c r="V42" s="9"/>
      <c r="W42" s="9"/>
      <c r="X42" s="9"/>
      <c r="Y42" s="9"/>
      <c r="Z42" s="9"/>
      <c r="AA42" s="9"/>
      <c r="AB42" s="120">
        <f>SUM(Table1215[[#This Row],[Annual Salary w/EBCs
$]:[Supplemental
$]])</f>
        <v>0</v>
      </c>
      <c r="AC42" s="121" t="str">
        <f t="shared" si="2"/>
        <v xml:space="preserve"> </v>
      </c>
    </row>
    <row r="43" spans="1:29" ht="15" customHeight="1" x14ac:dyDescent="0.3">
      <c r="A43" s="54">
        <v>25</v>
      </c>
      <c r="B43" s="4"/>
      <c r="C43" s="2"/>
      <c r="D43" s="2" t="s">
        <v>111</v>
      </c>
      <c r="E43" s="6"/>
      <c r="F43" s="1"/>
      <c r="G43" s="11"/>
      <c r="H43" s="11"/>
      <c r="I43" s="3"/>
      <c r="J43" s="3"/>
      <c r="K43" s="10"/>
      <c r="L43" s="5"/>
      <c r="M43" s="3"/>
      <c r="N43" s="3"/>
      <c r="O43" s="7"/>
      <c r="P43" s="7"/>
      <c r="Q43" s="7"/>
      <c r="R43" s="8"/>
      <c r="S43" s="9"/>
      <c r="T43" s="9"/>
      <c r="U43" s="9"/>
      <c r="V43" s="9"/>
      <c r="W43" s="9"/>
      <c r="X43" s="9"/>
      <c r="Y43" s="9"/>
      <c r="Z43" s="9"/>
      <c r="AA43" s="9"/>
      <c r="AB43" s="120">
        <f>SUM(Table1215[[#This Row],[Annual Salary w/EBCs
$]:[Supplemental
$]])</f>
        <v>0</v>
      </c>
      <c r="AC43" s="121" t="str">
        <f t="shared" si="2"/>
        <v xml:space="preserve"> </v>
      </c>
    </row>
    <row r="44" spans="1:29" ht="15" customHeight="1" x14ac:dyDescent="0.3">
      <c r="A44" s="54">
        <v>26</v>
      </c>
      <c r="B44" s="4" t="s">
        <v>138</v>
      </c>
      <c r="C44" s="2" t="s">
        <v>139</v>
      </c>
      <c r="D44" s="2" t="s">
        <v>112</v>
      </c>
      <c r="E44" s="6"/>
      <c r="F44" s="1"/>
      <c r="G44" s="11"/>
      <c r="H44" s="11"/>
      <c r="I44" s="3"/>
      <c r="J44" s="3"/>
      <c r="K44" s="10"/>
      <c r="L44" s="5"/>
      <c r="M44" s="3"/>
      <c r="N44" s="3"/>
      <c r="O44" s="7"/>
      <c r="P44" s="7"/>
      <c r="Q44" s="7"/>
      <c r="R44" s="8"/>
      <c r="S44" s="9"/>
      <c r="T44" s="9"/>
      <c r="U44" s="9">
        <v>1600</v>
      </c>
      <c r="V44" s="9">
        <v>7550</v>
      </c>
      <c r="W44" s="9"/>
      <c r="X44" s="9"/>
      <c r="Y44" s="9"/>
      <c r="Z44" s="9"/>
      <c r="AA44" s="9"/>
      <c r="AB44" s="120">
        <f>SUM(Table1215[[#This Row],[Annual Salary w/EBCs
$]:[Supplemental
$]])</f>
        <v>9150</v>
      </c>
      <c r="AC44" s="121">
        <f t="shared" si="2"/>
        <v>9150</v>
      </c>
    </row>
    <row r="45" spans="1:29" ht="15" customHeight="1" x14ac:dyDescent="0.3">
      <c r="A45" s="54">
        <v>27</v>
      </c>
      <c r="B45" s="4" t="s">
        <v>140</v>
      </c>
      <c r="C45" s="2" t="s">
        <v>139</v>
      </c>
      <c r="D45" s="2" t="s">
        <v>112</v>
      </c>
      <c r="E45" s="6"/>
      <c r="F45" s="1"/>
      <c r="G45" s="11"/>
      <c r="H45" s="11"/>
      <c r="I45" s="3"/>
      <c r="J45" s="3"/>
      <c r="K45" s="10"/>
      <c r="L45" s="5"/>
      <c r="M45" s="3"/>
      <c r="N45" s="3"/>
      <c r="O45" s="7"/>
      <c r="P45" s="7"/>
      <c r="Q45" s="7"/>
      <c r="R45" s="8"/>
      <c r="S45" s="9"/>
      <c r="T45" s="9"/>
      <c r="U45" s="9">
        <v>1600</v>
      </c>
      <c r="V45" s="9">
        <v>7550</v>
      </c>
      <c r="W45" s="9"/>
      <c r="X45" s="9"/>
      <c r="Y45" s="9"/>
      <c r="Z45" s="9"/>
      <c r="AA45" s="9"/>
      <c r="AB45" s="120">
        <f>SUM(Table1215[[#This Row],[Annual Salary w/EBCs
$]:[Supplemental
$]])</f>
        <v>9150</v>
      </c>
      <c r="AC45" s="121">
        <f t="shared" si="2"/>
        <v>9150</v>
      </c>
    </row>
    <row r="46" spans="1:29" ht="15" customHeight="1" x14ac:dyDescent="0.3">
      <c r="A46" s="54">
        <v>28</v>
      </c>
      <c r="B46" s="4" t="s">
        <v>141</v>
      </c>
      <c r="C46" s="2" t="s">
        <v>139</v>
      </c>
      <c r="D46" s="2" t="s">
        <v>112</v>
      </c>
      <c r="E46" s="6"/>
      <c r="F46" s="1"/>
      <c r="G46" s="11"/>
      <c r="H46" s="11"/>
      <c r="I46" s="3"/>
      <c r="J46" s="3"/>
      <c r="K46" s="10"/>
      <c r="L46" s="5"/>
      <c r="M46" s="3"/>
      <c r="N46" s="3"/>
      <c r="O46" s="7"/>
      <c r="P46" s="7"/>
      <c r="Q46" s="7"/>
      <c r="R46" s="8"/>
      <c r="S46" s="9"/>
      <c r="T46" s="9"/>
      <c r="U46" s="9">
        <v>1100</v>
      </c>
      <c r="V46" s="9">
        <v>3000</v>
      </c>
      <c r="W46" s="9"/>
      <c r="X46" s="9"/>
      <c r="Y46" s="9"/>
      <c r="Z46" s="9"/>
      <c r="AA46" s="9"/>
      <c r="AB46" s="120">
        <f>SUM(Table1215[[#This Row],[Annual Salary w/EBCs
$]:[Supplemental
$]])</f>
        <v>4100</v>
      </c>
      <c r="AC46" s="121">
        <f t="shared" si="2"/>
        <v>4100</v>
      </c>
    </row>
    <row r="47" spans="1:29" ht="15" customHeight="1" x14ac:dyDescent="0.3">
      <c r="A47" s="54">
        <v>29</v>
      </c>
      <c r="B47" s="4" t="s">
        <v>143</v>
      </c>
      <c r="C47" s="2" t="s">
        <v>142</v>
      </c>
      <c r="D47" s="2" t="s">
        <v>112</v>
      </c>
      <c r="E47" s="6"/>
      <c r="F47" s="1"/>
      <c r="G47" s="11"/>
      <c r="H47" s="11"/>
      <c r="I47" s="3"/>
      <c r="J47" s="3"/>
      <c r="K47" s="10"/>
      <c r="L47" s="5"/>
      <c r="M47" s="3"/>
      <c r="N47" s="3"/>
      <c r="O47" s="7"/>
      <c r="P47" s="7"/>
      <c r="Q47" s="7"/>
      <c r="R47" s="8"/>
      <c r="S47" s="9"/>
      <c r="T47" s="9"/>
      <c r="U47" s="9">
        <v>1100</v>
      </c>
      <c r="V47" s="9">
        <v>3000</v>
      </c>
      <c r="W47" s="9"/>
      <c r="X47" s="9"/>
      <c r="Y47" s="9"/>
      <c r="Z47" s="9"/>
      <c r="AA47" s="9"/>
      <c r="AB47" s="120">
        <f>SUM(Table1215[[#This Row],[Annual Salary w/EBCs
$]:[Supplemental
$]])</f>
        <v>4100</v>
      </c>
      <c r="AC47" s="121">
        <f t="shared" si="2"/>
        <v>4100</v>
      </c>
    </row>
    <row r="48" spans="1:29" ht="15" customHeight="1" x14ac:dyDescent="0.3">
      <c r="A48" s="54">
        <v>30</v>
      </c>
      <c r="B48" s="4"/>
      <c r="C48" s="2"/>
      <c r="D48" s="2" t="s">
        <v>111</v>
      </c>
      <c r="E48" s="6"/>
      <c r="F48" s="1"/>
      <c r="G48" s="11"/>
      <c r="H48" s="11"/>
      <c r="I48" s="3"/>
      <c r="J48" s="3"/>
      <c r="K48" s="10"/>
      <c r="L48" s="5"/>
      <c r="M48" s="3"/>
      <c r="N48" s="3"/>
      <c r="O48" s="7"/>
      <c r="P48" s="7"/>
      <c r="Q48" s="7"/>
      <c r="R48" s="8"/>
      <c r="S48" s="9"/>
      <c r="T48" s="9"/>
      <c r="U48" s="9"/>
      <c r="V48" s="9"/>
      <c r="W48" s="9"/>
      <c r="X48" s="9"/>
      <c r="Y48" s="9"/>
      <c r="Z48" s="9"/>
      <c r="AA48" s="9"/>
      <c r="AB48" s="120">
        <f>SUM(Table1215[[#This Row],[Annual Salary w/EBCs
$]:[Supplemental
$]])</f>
        <v>0</v>
      </c>
      <c r="AC48" s="121" t="str">
        <f t="shared" si="2"/>
        <v xml:space="preserve"> </v>
      </c>
    </row>
    <row r="49" spans="1:29" ht="15" customHeight="1" x14ac:dyDescent="0.3">
      <c r="A49" s="54">
        <v>31</v>
      </c>
      <c r="B49" s="4"/>
      <c r="C49" s="2"/>
      <c r="D49" s="2" t="s">
        <v>111</v>
      </c>
      <c r="E49" s="6"/>
      <c r="F49" s="1"/>
      <c r="G49" s="11"/>
      <c r="H49" s="11"/>
      <c r="I49" s="3"/>
      <c r="J49" s="3"/>
      <c r="K49" s="10"/>
      <c r="L49" s="5"/>
      <c r="M49" s="3"/>
      <c r="N49" s="3"/>
      <c r="O49" s="7"/>
      <c r="P49" s="7"/>
      <c r="Q49" s="7"/>
      <c r="R49" s="8"/>
      <c r="S49" s="9"/>
      <c r="T49" s="9"/>
      <c r="U49" s="9"/>
      <c r="V49" s="9"/>
      <c r="W49" s="9"/>
      <c r="X49" s="9"/>
      <c r="Y49" s="9"/>
      <c r="Z49" s="9"/>
      <c r="AA49" s="9"/>
      <c r="AB49" s="120">
        <f>SUM(Table1215[[#This Row],[Annual Salary w/EBCs
$]:[Supplemental
$]])</f>
        <v>0</v>
      </c>
      <c r="AC49" s="121" t="str">
        <f t="shared" si="2"/>
        <v xml:space="preserve"> </v>
      </c>
    </row>
    <row r="50" spans="1:29" ht="15" customHeight="1" x14ac:dyDescent="0.3">
      <c r="A50" s="54">
        <v>32</v>
      </c>
      <c r="B50" s="4"/>
      <c r="C50" s="2"/>
      <c r="D50" s="2" t="s">
        <v>111</v>
      </c>
      <c r="E50" s="6"/>
      <c r="F50" s="1"/>
      <c r="G50" s="11"/>
      <c r="H50" s="11"/>
      <c r="I50" s="3"/>
      <c r="J50" s="3"/>
      <c r="K50" s="10"/>
      <c r="L50" s="5"/>
      <c r="M50" s="3"/>
      <c r="N50" s="3"/>
      <c r="O50" s="7"/>
      <c r="P50" s="7"/>
      <c r="Q50" s="7"/>
      <c r="R50" s="8"/>
      <c r="S50" s="9"/>
      <c r="T50" s="9"/>
      <c r="U50" s="9"/>
      <c r="V50" s="9"/>
      <c r="W50" s="9"/>
      <c r="X50" s="9"/>
      <c r="Y50" s="9"/>
      <c r="Z50" s="9"/>
      <c r="AA50" s="9"/>
      <c r="AB50" s="120">
        <f>SUM(Table1215[[#This Row],[Annual Salary w/EBCs
$]:[Supplemental
$]])</f>
        <v>0</v>
      </c>
      <c r="AC50" s="121" t="str">
        <f t="shared" si="2"/>
        <v xml:space="preserve"> </v>
      </c>
    </row>
    <row r="51" spans="1:29" ht="15" customHeight="1" x14ac:dyDescent="0.3">
      <c r="A51" s="54">
        <v>33</v>
      </c>
      <c r="B51" s="4"/>
      <c r="C51" s="2"/>
      <c r="D51" s="2" t="s">
        <v>111</v>
      </c>
      <c r="E51" s="6"/>
      <c r="F51" s="1"/>
      <c r="G51" s="11"/>
      <c r="H51" s="11"/>
      <c r="I51" s="3"/>
      <c r="J51" s="3"/>
      <c r="K51" s="10"/>
      <c r="L51" s="5"/>
      <c r="M51" s="3"/>
      <c r="N51" s="3"/>
      <c r="O51" s="7"/>
      <c r="P51" s="7"/>
      <c r="Q51" s="7"/>
      <c r="R51" s="8"/>
      <c r="S51" s="9"/>
      <c r="T51" s="9"/>
      <c r="U51" s="9"/>
      <c r="V51" s="9"/>
      <c r="W51" s="9"/>
      <c r="X51" s="9"/>
      <c r="Y51" s="9"/>
      <c r="Z51" s="9"/>
      <c r="AA51" s="9"/>
      <c r="AB51" s="120">
        <f>SUM(Table1215[[#This Row],[Annual Salary w/EBCs
$]:[Supplemental
$]])</f>
        <v>0</v>
      </c>
      <c r="AC51" s="121" t="str">
        <f t="shared" si="2"/>
        <v xml:space="preserve"> </v>
      </c>
    </row>
    <row r="52" spans="1:29" ht="15" customHeight="1" x14ac:dyDescent="0.3">
      <c r="A52" s="54">
        <v>34</v>
      </c>
      <c r="B52" s="4"/>
      <c r="C52" s="2"/>
      <c r="D52" s="2" t="s">
        <v>111</v>
      </c>
      <c r="E52" s="6"/>
      <c r="F52" s="1"/>
      <c r="G52" s="11"/>
      <c r="H52" s="11"/>
      <c r="I52" s="3"/>
      <c r="J52" s="3"/>
      <c r="K52" s="10"/>
      <c r="L52" s="5"/>
      <c r="M52" s="3"/>
      <c r="N52" s="3"/>
      <c r="O52" s="7"/>
      <c r="P52" s="7"/>
      <c r="Q52" s="7"/>
      <c r="R52" s="8"/>
      <c r="S52" s="9"/>
      <c r="T52" s="9"/>
      <c r="U52" s="9"/>
      <c r="V52" s="9"/>
      <c r="W52" s="9"/>
      <c r="X52" s="9"/>
      <c r="Y52" s="9"/>
      <c r="Z52" s="9"/>
      <c r="AA52" s="9"/>
      <c r="AB52" s="120">
        <f>SUM(Table1215[[#This Row],[Annual Salary w/EBCs
$]:[Supplemental
$]])</f>
        <v>0</v>
      </c>
      <c r="AC52" s="121" t="str">
        <f t="shared" si="2"/>
        <v xml:space="preserve"> </v>
      </c>
    </row>
    <row r="53" spans="1:29" ht="15" customHeight="1" x14ac:dyDescent="0.3">
      <c r="A53" s="54">
        <v>35</v>
      </c>
      <c r="B53" s="4"/>
      <c r="C53" s="2"/>
      <c r="D53" s="2" t="s">
        <v>111</v>
      </c>
      <c r="E53" s="6"/>
      <c r="F53" s="1"/>
      <c r="G53" s="11"/>
      <c r="H53" s="11"/>
      <c r="I53" s="3"/>
      <c r="J53" s="3"/>
      <c r="K53" s="10"/>
      <c r="L53" s="5"/>
      <c r="M53" s="3"/>
      <c r="N53" s="3"/>
      <c r="O53" s="7"/>
      <c r="P53" s="7"/>
      <c r="Q53" s="7"/>
      <c r="R53" s="8"/>
      <c r="S53" s="9"/>
      <c r="T53" s="9"/>
      <c r="U53" s="9"/>
      <c r="V53" s="9"/>
      <c r="W53" s="9"/>
      <c r="X53" s="9"/>
      <c r="Y53" s="9"/>
      <c r="Z53" s="9"/>
      <c r="AA53" s="9"/>
      <c r="AB53" s="120">
        <f>SUM(Table1215[[#This Row],[Annual Salary w/EBCs
$]:[Supplemental
$]])</f>
        <v>0</v>
      </c>
      <c r="AC53" s="121" t="str">
        <f t="shared" si="2"/>
        <v xml:space="preserve"> </v>
      </c>
    </row>
    <row r="54" spans="1:29" ht="15" customHeight="1" x14ac:dyDescent="0.3">
      <c r="A54" s="54">
        <v>36</v>
      </c>
      <c r="B54" s="4"/>
      <c r="C54" s="2"/>
      <c r="D54" s="2" t="s">
        <v>111</v>
      </c>
      <c r="E54" s="6"/>
      <c r="F54" s="1"/>
      <c r="G54" s="11"/>
      <c r="H54" s="11"/>
      <c r="I54" s="3"/>
      <c r="J54" s="3"/>
      <c r="K54" s="10"/>
      <c r="L54" s="5"/>
      <c r="M54" s="3"/>
      <c r="N54" s="3"/>
      <c r="O54" s="7"/>
      <c r="P54" s="7"/>
      <c r="Q54" s="7"/>
      <c r="R54" s="8"/>
      <c r="S54" s="9"/>
      <c r="T54" s="9"/>
      <c r="U54" s="9"/>
      <c r="V54" s="9"/>
      <c r="W54" s="9"/>
      <c r="X54" s="9"/>
      <c r="Y54" s="9"/>
      <c r="Z54" s="9"/>
      <c r="AA54" s="9"/>
      <c r="AB54" s="120">
        <f>SUM(Table1215[[#This Row],[Annual Salary w/EBCs
$]:[Supplemental
$]])</f>
        <v>0</v>
      </c>
      <c r="AC54" s="121" t="str">
        <f t="shared" si="2"/>
        <v xml:space="preserve"> </v>
      </c>
    </row>
    <row r="55" spans="1:29" ht="15" customHeight="1" x14ac:dyDescent="0.3">
      <c r="A55" s="54">
        <v>37</v>
      </c>
      <c r="B55" s="4"/>
      <c r="C55" s="2"/>
      <c r="D55" s="2" t="s">
        <v>111</v>
      </c>
      <c r="E55" s="6"/>
      <c r="F55" s="1"/>
      <c r="G55" s="11"/>
      <c r="H55" s="11"/>
      <c r="I55" s="3"/>
      <c r="J55" s="3"/>
      <c r="K55" s="10"/>
      <c r="L55" s="5"/>
      <c r="M55" s="3"/>
      <c r="N55" s="3"/>
      <c r="O55" s="7"/>
      <c r="P55" s="7"/>
      <c r="Q55" s="7"/>
      <c r="R55" s="8"/>
      <c r="S55" s="9"/>
      <c r="T55" s="9"/>
      <c r="U55" s="9"/>
      <c r="V55" s="9"/>
      <c r="W55" s="9"/>
      <c r="X55" s="9"/>
      <c r="Y55" s="9"/>
      <c r="Z55" s="9"/>
      <c r="AA55" s="9"/>
      <c r="AB55" s="120">
        <f>SUM(Table1215[[#This Row],[Annual Salary w/EBCs
$]:[Supplemental
$]])</f>
        <v>0</v>
      </c>
      <c r="AC55" s="121" t="str">
        <f t="shared" si="2"/>
        <v xml:space="preserve"> </v>
      </c>
    </row>
    <row r="56" spans="1:29" ht="15" customHeight="1" x14ac:dyDescent="0.3">
      <c r="A56" s="54">
        <v>38</v>
      </c>
      <c r="B56" s="4"/>
      <c r="C56" s="2"/>
      <c r="D56" s="2" t="s">
        <v>111</v>
      </c>
      <c r="E56" s="6"/>
      <c r="F56" s="1"/>
      <c r="G56" s="11"/>
      <c r="H56" s="11"/>
      <c r="I56" s="3"/>
      <c r="J56" s="3"/>
      <c r="K56" s="10"/>
      <c r="L56" s="5"/>
      <c r="M56" s="3"/>
      <c r="N56" s="3"/>
      <c r="O56" s="7"/>
      <c r="P56" s="7"/>
      <c r="Q56" s="7"/>
      <c r="R56" s="8"/>
      <c r="S56" s="9"/>
      <c r="T56" s="9"/>
      <c r="U56" s="9"/>
      <c r="V56" s="9"/>
      <c r="W56" s="9"/>
      <c r="X56" s="9"/>
      <c r="Y56" s="9"/>
      <c r="Z56" s="9"/>
      <c r="AA56" s="9"/>
      <c r="AB56" s="120">
        <f>SUM(Table1215[[#This Row],[Annual Salary w/EBCs
$]:[Supplemental
$]])</f>
        <v>0</v>
      </c>
      <c r="AC56" s="121" t="str">
        <f t="shared" si="2"/>
        <v xml:space="preserve"> </v>
      </c>
    </row>
    <row r="57" spans="1:29" ht="15" customHeight="1" thickBot="1" x14ac:dyDescent="0.35">
      <c r="A57" s="54">
        <v>39</v>
      </c>
      <c r="B57" s="4"/>
      <c r="C57" s="2"/>
      <c r="D57" s="2" t="s">
        <v>111</v>
      </c>
      <c r="E57" s="6"/>
      <c r="F57" s="1"/>
      <c r="G57" s="11"/>
      <c r="H57" s="11"/>
      <c r="I57" s="3"/>
      <c r="J57" s="3"/>
      <c r="K57" s="10"/>
      <c r="L57" s="5"/>
      <c r="M57" s="3"/>
      <c r="N57" s="3"/>
      <c r="O57" s="7"/>
      <c r="P57" s="7"/>
      <c r="Q57" s="7"/>
      <c r="R57" s="8"/>
      <c r="S57" s="9"/>
      <c r="T57" s="9"/>
      <c r="U57" s="9"/>
      <c r="V57" s="9"/>
      <c r="W57" s="9"/>
      <c r="X57" s="9"/>
      <c r="Y57" s="9"/>
      <c r="Z57" s="9"/>
      <c r="AA57" s="9"/>
      <c r="AB57" s="120">
        <f>SUM(Table1215[[#This Row],[Annual Salary w/EBCs
$]:[Supplemental
$]])</f>
        <v>0</v>
      </c>
      <c r="AC57" s="121" t="str">
        <f t="shared" si="2"/>
        <v xml:space="preserve"> </v>
      </c>
    </row>
    <row r="58" spans="1:29" ht="28.5" customHeight="1" thickBot="1" x14ac:dyDescent="0.35">
      <c r="B58" s="122" t="str">
        <f>B18</f>
        <v>COLUMN TOTALS</v>
      </c>
      <c r="C58" s="123"/>
      <c r="D58" s="123"/>
      <c r="E58" s="123"/>
      <c r="F58" s="123"/>
      <c r="G58" s="124"/>
      <c r="H58" s="124"/>
      <c r="I58" s="124"/>
      <c r="J58" s="124"/>
      <c r="K58" s="124"/>
      <c r="L58" s="124"/>
      <c r="M58" s="124"/>
      <c r="N58" s="124"/>
      <c r="O58" s="125"/>
      <c r="P58" s="126">
        <f>SUM(P19:P57)</f>
        <v>706238.1889999999</v>
      </c>
      <c r="Q58" s="126">
        <f t="shared" ref="Q58:AC58" si="3">SUM(Q19:Q57)</f>
        <v>0</v>
      </c>
      <c r="R58" s="126">
        <f t="shared" si="3"/>
        <v>24000</v>
      </c>
      <c r="S58" s="126">
        <f t="shared" si="3"/>
        <v>24000</v>
      </c>
      <c r="T58" s="126">
        <f t="shared" si="3"/>
        <v>24000</v>
      </c>
      <c r="U58" s="126">
        <f t="shared" si="3"/>
        <v>5400</v>
      </c>
      <c r="V58" s="126">
        <f t="shared" si="3"/>
        <v>21100</v>
      </c>
      <c r="W58" s="126">
        <f t="shared" ref="W58" si="4">SUM(W19:W57)</f>
        <v>0</v>
      </c>
      <c r="X58" s="127">
        <f t="shared" si="3"/>
        <v>0</v>
      </c>
      <c r="Y58" s="127">
        <f t="shared" si="3"/>
        <v>0</v>
      </c>
      <c r="Z58" s="127">
        <f t="shared" si="3"/>
        <v>0</v>
      </c>
      <c r="AA58" s="127">
        <f>SUM(AA19:AA57)</f>
        <v>0</v>
      </c>
      <c r="AB58" s="128">
        <f t="shared" si="3"/>
        <v>804738.18899999978</v>
      </c>
      <c r="AC58" s="128">
        <f t="shared" si="3"/>
        <v>804738.18899999978</v>
      </c>
    </row>
  </sheetData>
  <mergeCells count="6">
    <mergeCell ref="R3:Y3"/>
    <mergeCell ref="E13:P13"/>
    <mergeCell ref="B6:C6"/>
    <mergeCell ref="B9:C9"/>
    <mergeCell ref="B4:C4"/>
    <mergeCell ref="D3:P3"/>
  </mergeCells>
  <phoneticPr fontId="13" type="noConversion"/>
  <pageMargins left="0.45" right="0.45" top="0.25" bottom="0.25" header="0.3" footer="0.3"/>
  <pageSetup paperSize="17" scale="80" fitToHeight="0" orientation="landscape" horizontalDpi="4294967295" verticalDpi="4294967295" r:id="rId1"/>
  <ignoredErrors>
    <ignoredError sqref="AB19 AC19:AC29 AB18:AC18 AC40:AC57 AC31:AC38 P18:V18 X18:AA18" unlockedFormula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3F16E6D9-9292-4525-8D25-F54C02A45D79}">
          <x14:formula1>
            <xm:f>'Drop Downs'!$B$4:$B$5</xm:f>
          </x14:formula1>
          <xm:sqref>D18</xm:sqref>
        </x14:dataValidation>
        <x14:dataValidation type="list" allowBlank="1" showInputMessage="1" showErrorMessage="1" xr:uid="{81960E42-1E6C-4400-8C3B-E27D67985FD1}">
          <x14:formula1>
            <xm:f>'Drop Downs'!$D$4:$D$18</xm:f>
          </x14:formula1>
          <xm:sqref>I19:I42</xm:sqref>
        </x14:dataValidation>
        <x14:dataValidation type="list" allowBlank="1" showInputMessage="1" showErrorMessage="1" xr:uid="{C0582976-FBE9-416B-B8D6-0C2396F0B54A}">
          <x14:formula1>
            <xm:f>'Drop Downs'!$E$3:$N$3</xm:f>
          </x14:formula1>
          <xm:sqref>J19:J42</xm:sqref>
        </x14:dataValidation>
        <x14:dataValidation type="list" allowBlank="1" showInputMessage="1" showErrorMessage="1" xr:uid="{F4941941-8AC8-4D9E-ACF0-900F67034E49}">
          <x14:formula1>
            <xm:f>'Drop Downs'!$B$4:$B$10</xm:f>
          </x14:formula1>
          <xm:sqref>D19:D57</xm:sqref>
        </x14:dataValidation>
        <x14:dataValidation type="list" allowBlank="1" showInputMessage="1" showErrorMessage="1" xr:uid="{12857EC2-0156-44AB-A4E3-3DA2D9D60BEF}">
          <x14:formula1>
            <xm:f>'Drop Downs'!$B$24:$B$78</xm:f>
          </x14:formula1>
          <xm:sqref>B11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E55D8-2F17-4DEA-AF48-A354A7B24741}">
  <dimension ref="B1:AK78"/>
  <sheetViews>
    <sheetView workbookViewId="0">
      <selection activeCell="L34" sqref="L34"/>
    </sheetView>
  </sheetViews>
  <sheetFormatPr defaultColWidth="9.09765625" defaultRowHeight="13" x14ac:dyDescent="0.3"/>
  <cols>
    <col min="2" max="2" width="46.8984375" customWidth="1"/>
    <col min="16" max="16" width="14" bestFit="1" customWidth="1"/>
    <col min="21" max="21" width="15" bestFit="1" customWidth="1"/>
  </cols>
  <sheetData>
    <row r="1" spans="2:37" ht="12.75" customHeight="1" x14ac:dyDescent="0.3"/>
    <row r="2" spans="2:37" ht="12.75" customHeight="1" x14ac:dyDescent="0.3">
      <c r="D2" t="s">
        <v>101</v>
      </c>
      <c r="E2">
        <v>1</v>
      </c>
      <c r="F2">
        <v>2</v>
      </c>
      <c r="G2">
        <v>3</v>
      </c>
      <c r="H2">
        <v>4</v>
      </c>
      <c r="I2">
        <v>5</v>
      </c>
      <c r="J2">
        <v>6</v>
      </c>
      <c r="K2">
        <v>7</v>
      </c>
      <c r="L2">
        <v>8</v>
      </c>
      <c r="M2">
        <v>9</v>
      </c>
      <c r="N2">
        <v>10</v>
      </c>
      <c r="T2" t="s">
        <v>107</v>
      </c>
    </row>
    <row r="3" spans="2:37" ht="12.75" customHeight="1" x14ac:dyDescent="0.3">
      <c r="B3" t="s">
        <v>113</v>
      </c>
      <c r="E3" t="s">
        <v>34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t="s">
        <v>40</v>
      </c>
      <c r="L3" t="s">
        <v>41</v>
      </c>
      <c r="M3" t="s">
        <v>42</v>
      </c>
      <c r="N3" t="s">
        <v>43</v>
      </c>
      <c r="U3" t="s">
        <v>102</v>
      </c>
      <c r="V3" t="s">
        <v>103</v>
      </c>
      <c r="W3" t="s">
        <v>104</v>
      </c>
    </row>
    <row r="4" spans="2:37" ht="12.75" customHeight="1" x14ac:dyDescent="0.3">
      <c r="B4" t="s">
        <v>111</v>
      </c>
      <c r="C4">
        <v>1</v>
      </c>
      <c r="D4" t="s">
        <v>19</v>
      </c>
      <c r="E4" s="57">
        <v>10.53</v>
      </c>
      <c r="F4" s="57">
        <v>10.89</v>
      </c>
      <c r="G4" s="57">
        <v>11.24</v>
      </c>
      <c r="H4" s="57">
        <v>11.59</v>
      </c>
      <c r="I4" s="57">
        <v>11.94</v>
      </c>
      <c r="J4" s="57">
        <v>12.14</v>
      </c>
      <c r="K4" s="57">
        <v>12.49</v>
      </c>
      <c r="L4" s="57">
        <v>12.84</v>
      </c>
      <c r="M4" s="57">
        <v>12.85</v>
      </c>
      <c r="N4" s="57">
        <v>13.18</v>
      </c>
      <c r="T4">
        <v>1</v>
      </c>
      <c r="U4">
        <f>MATCH('IHC Program'!I19,$D$4:$D$18,0)</f>
        <v>9</v>
      </c>
      <c r="V4">
        <f>MATCH('IHC Program'!J19,$E$3:$N$3,0)</f>
        <v>5</v>
      </c>
      <c r="W4">
        <f>INDEX($E$4:$N$18,MATCH('IHC Program'!I19,$D$4:$D$18,0),MATCH('IHC Program'!J19,$E$3:$N$3,0))</f>
        <v>27.88</v>
      </c>
    </row>
    <row r="5" spans="2:37" ht="12.75" customHeight="1" x14ac:dyDescent="0.3">
      <c r="B5" t="s">
        <v>112</v>
      </c>
      <c r="C5">
        <v>2</v>
      </c>
      <c r="D5" t="s">
        <v>20</v>
      </c>
      <c r="E5" s="57">
        <v>11.85</v>
      </c>
      <c r="F5" s="57">
        <v>12.13</v>
      </c>
      <c r="G5" s="57">
        <v>12.52</v>
      </c>
      <c r="H5" s="57">
        <v>12.85</v>
      </c>
      <c r="I5" s="57">
        <v>13</v>
      </c>
      <c r="J5" s="57">
        <v>13.38</v>
      </c>
      <c r="K5" s="57">
        <v>13.76</v>
      </c>
      <c r="L5" s="57">
        <v>14.14</v>
      </c>
      <c r="M5" s="57">
        <v>14.53</v>
      </c>
      <c r="N5" s="57">
        <v>14.91</v>
      </c>
      <c r="T5">
        <v>2</v>
      </c>
      <c r="U5">
        <f>MATCH('IHC Program'!I20,$D$4:$D$18,0)</f>
        <v>8</v>
      </c>
      <c r="V5">
        <f>MATCH('IHC Program'!J20,$E$3:$N$3,0)</f>
        <v>5</v>
      </c>
      <c r="W5">
        <f>INDEX($E$4:$N$18,MATCH('IHC Program'!I20,$D$4:$D$18,0),MATCH('IHC Program'!J20,$E$3:$N$3,0))</f>
        <v>25.24</v>
      </c>
    </row>
    <row r="6" spans="2:37" ht="12.75" customHeight="1" x14ac:dyDescent="0.3">
      <c r="C6">
        <v>3</v>
      </c>
      <c r="D6" t="s">
        <v>21</v>
      </c>
      <c r="E6" s="57">
        <v>12.93</v>
      </c>
      <c r="F6" s="57">
        <v>13.36</v>
      </c>
      <c r="G6" s="57">
        <v>13.79</v>
      </c>
      <c r="H6" s="57">
        <v>14.22</v>
      </c>
      <c r="I6" s="57">
        <v>14.65</v>
      </c>
      <c r="J6" s="57">
        <v>15.08</v>
      </c>
      <c r="K6" s="57">
        <v>15.51</v>
      </c>
      <c r="L6" s="57">
        <v>15.94</v>
      </c>
      <c r="M6" s="57">
        <v>16.37</v>
      </c>
      <c r="N6" s="57">
        <v>16.8</v>
      </c>
      <c r="Q6" s="56"/>
      <c r="T6">
        <v>3</v>
      </c>
      <c r="U6">
        <f>MATCH('IHC Program'!I21,$D$4:$D$18,0)</f>
        <v>7</v>
      </c>
      <c r="V6">
        <f>MATCH('IHC Program'!J21,$E$3:$N$3,0)</f>
        <v>5</v>
      </c>
      <c r="W6">
        <f>INDEX($E$4:$N$18,MATCH('IHC Program'!I21,$D$4:$D$18,0),MATCH('IHC Program'!J21,$E$3:$N$3,0))</f>
        <v>22.79</v>
      </c>
    </row>
    <row r="7" spans="2:37" ht="12.75" customHeight="1" x14ac:dyDescent="0.3">
      <c r="C7">
        <v>4</v>
      </c>
      <c r="D7" t="s">
        <v>22</v>
      </c>
      <c r="E7" s="57">
        <v>14.51</v>
      </c>
      <c r="F7" s="57">
        <v>14.99</v>
      </c>
      <c r="G7" s="57">
        <v>15.48</v>
      </c>
      <c r="H7" s="57">
        <v>15.96</v>
      </c>
      <c r="I7" s="57">
        <v>16.440000000000001</v>
      </c>
      <c r="J7" s="57">
        <v>16.93</v>
      </c>
      <c r="K7" s="57">
        <v>17.41</v>
      </c>
      <c r="L7" s="57">
        <v>17.89</v>
      </c>
      <c r="M7" s="57">
        <v>18.38</v>
      </c>
      <c r="N7" s="57">
        <v>18.86</v>
      </c>
      <c r="T7">
        <v>4</v>
      </c>
      <c r="U7">
        <f>MATCH('IHC Program'!I22,$D$4:$D$18,0)</f>
        <v>7</v>
      </c>
      <c r="V7">
        <f>MATCH('IHC Program'!J22,$E$3:$N$3,0)</f>
        <v>5</v>
      </c>
      <c r="W7">
        <f>INDEX($E$4:$N$18,MATCH('IHC Program'!I22,$D$4:$D$18,0),MATCH('IHC Program'!J22,$E$3:$N$3,0))</f>
        <v>22.79</v>
      </c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 spans="2:37" ht="12.75" customHeight="1" x14ac:dyDescent="0.3">
      <c r="C8">
        <v>5</v>
      </c>
      <c r="D8" t="s">
        <v>23</v>
      </c>
      <c r="E8" s="57">
        <v>16.23</v>
      </c>
      <c r="F8" s="57">
        <v>16.77</v>
      </c>
      <c r="G8" s="57">
        <v>17.309999999999999</v>
      </c>
      <c r="H8" s="57">
        <v>17.86</v>
      </c>
      <c r="I8" s="57">
        <v>18.399999999999999</v>
      </c>
      <c r="J8" s="57">
        <v>18.940000000000001</v>
      </c>
      <c r="K8" s="57">
        <v>19.48</v>
      </c>
      <c r="L8" s="57">
        <v>20.02</v>
      </c>
      <c r="M8" s="57">
        <v>20.56</v>
      </c>
      <c r="N8" s="57">
        <v>21.1</v>
      </c>
      <c r="T8">
        <v>5</v>
      </c>
      <c r="U8">
        <f>MATCH('IHC Program'!I23,$D$4:$D$18,0)</f>
        <v>7</v>
      </c>
      <c r="V8">
        <f>MATCH('IHC Program'!J23,$E$3:$N$3,0)</f>
        <v>5</v>
      </c>
      <c r="W8">
        <f>INDEX($E$4:$N$18,MATCH('IHC Program'!I23,$D$4:$D$18,0),MATCH('IHC Program'!J23,$E$3:$N$3,0))</f>
        <v>22.79</v>
      </c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 spans="2:37" ht="12.75" customHeight="1" x14ac:dyDescent="0.3">
      <c r="C9">
        <v>6</v>
      </c>
      <c r="D9" t="s">
        <v>24</v>
      </c>
      <c r="E9" s="57">
        <v>18.100000000000001</v>
      </c>
      <c r="F9" s="57">
        <v>18.7</v>
      </c>
      <c r="G9" s="57">
        <v>19.3</v>
      </c>
      <c r="H9" s="57">
        <v>19.91</v>
      </c>
      <c r="I9" s="57">
        <v>20.51</v>
      </c>
      <c r="J9" s="57">
        <v>21.11</v>
      </c>
      <c r="K9" s="57">
        <v>21.71</v>
      </c>
      <c r="L9" s="57">
        <v>22.32</v>
      </c>
      <c r="M9" s="57">
        <v>22.92</v>
      </c>
      <c r="N9" s="57">
        <v>23.52</v>
      </c>
      <c r="T9">
        <v>6</v>
      </c>
      <c r="U9">
        <f>MATCH('IHC Program'!I24,$D$4:$D$18,0)</f>
        <v>5</v>
      </c>
      <c r="V9">
        <f>MATCH('IHC Program'!J24,$E$3:$N$3,0)</f>
        <v>5</v>
      </c>
      <c r="W9">
        <f>INDEX($E$4:$N$18,MATCH('IHC Program'!I24,$D$4:$D$18,0),MATCH('IHC Program'!J24,$E$3:$N$3,0))</f>
        <v>18.399999999999999</v>
      </c>
      <c r="AB9" s="57"/>
      <c r="AC9" s="57"/>
      <c r="AD9" s="57"/>
      <c r="AE9" s="57"/>
      <c r="AF9" s="57"/>
      <c r="AG9" s="57"/>
      <c r="AH9" s="57"/>
      <c r="AI9" s="57"/>
      <c r="AJ9" s="57"/>
      <c r="AK9" s="57"/>
    </row>
    <row r="10" spans="2:37" ht="12.75" customHeight="1" x14ac:dyDescent="0.3">
      <c r="C10">
        <v>7</v>
      </c>
      <c r="D10" t="s">
        <v>25</v>
      </c>
      <c r="E10" s="57">
        <v>20.11</v>
      </c>
      <c r="F10" s="57">
        <v>20.78</v>
      </c>
      <c r="G10" s="57">
        <v>21.45</v>
      </c>
      <c r="H10" s="57">
        <v>22.12</v>
      </c>
      <c r="I10" s="57">
        <v>22.79</v>
      </c>
      <c r="J10" s="57">
        <v>23.46</v>
      </c>
      <c r="K10" s="57">
        <v>24.13</v>
      </c>
      <c r="L10" s="57">
        <v>24.8</v>
      </c>
      <c r="M10" s="57">
        <v>25.47</v>
      </c>
      <c r="N10" s="57">
        <v>26.14</v>
      </c>
      <c r="T10">
        <v>7</v>
      </c>
      <c r="U10">
        <f>MATCH('IHC Program'!I25,$D$4:$D$18,0)</f>
        <v>5</v>
      </c>
      <c r="V10">
        <f>MATCH('IHC Program'!J25,$E$3:$N$3,0)</f>
        <v>5</v>
      </c>
      <c r="W10">
        <f>INDEX($E$4:$N$18,MATCH('IHC Program'!I25,$D$4:$D$18,0),MATCH('IHC Program'!J25,$E$3:$N$3,0))</f>
        <v>18.399999999999999</v>
      </c>
      <c r="AB10" s="57"/>
      <c r="AC10" s="57"/>
      <c r="AD10" s="57"/>
      <c r="AE10" s="57"/>
      <c r="AF10" s="57"/>
      <c r="AG10" s="57"/>
      <c r="AH10" s="57"/>
      <c r="AI10" s="57"/>
      <c r="AJ10" s="57"/>
      <c r="AK10" s="57"/>
    </row>
    <row r="11" spans="2:37" ht="12.75" customHeight="1" x14ac:dyDescent="0.3">
      <c r="C11">
        <v>8</v>
      </c>
      <c r="D11" t="s">
        <v>26</v>
      </c>
      <c r="E11" s="57">
        <v>22.27</v>
      </c>
      <c r="F11" s="57">
        <v>23.01</v>
      </c>
      <c r="G11" s="57">
        <v>23.75</v>
      </c>
      <c r="H11" s="57">
        <v>24.5</v>
      </c>
      <c r="I11" s="57">
        <v>25.24</v>
      </c>
      <c r="J11" s="57">
        <v>25.98</v>
      </c>
      <c r="K11" s="57">
        <v>26.72</v>
      </c>
      <c r="L11" s="57">
        <v>27.46</v>
      </c>
      <c r="M11" s="57">
        <v>28.21</v>
      </c>
      <c r="N11" s="57">
        <v>28.95</v>
      </c>
      <c r="T11">
        <v>8</v>
      </c>
      <c r="U11">
        <f>MATCH('IHC Program'!I26,$D$4:$D$18,0)</f>
        <v>4</v>
      </c>
      <c r="V11">
        <f>MATCH('IHC Program'!J26,$E$3:$N$3,0)</f>
        <v>5</v>
      </c>
      <c r="W11">
        <f>INDEX($E$4:$N$18,MATCH('IHC Program'!I26,$D$4:$D$18,0),MATCH('IHC Program'!J26,$E$3:$N$3,0))</f>
        <v>16.440000000000001</v>
      </c>
      <c r="AB11" s="57"/>
      <c r="AC11" s="57"/>
      <c r="AD11" s="57"/>
      <c r="AE11" s="57"/>
      <c r="AF11" s="57"/>
      <c r="AG11" s="57"/>
      <c r="AH11" s="57"/>
      <c r="AI11" s="57"/>
      <c r="AJ11" s="57"/>
      <c r="AK11" s="57"/>
    </row>
    <row r="12" spans="2:37" ht="12.75" customHeight="1" x14ac:dyDescent="0.3">
      <c r="C12">
        <v>9</v>
      </c>
      <c r="D12" t="s">
        <v>27</v>
      </c>
      <c r="E12" s="57">
        <v>24.6</v>
      </c>
      <c r="F12" s="57">
        <v>25.42</v>
      </c>
      <c r="G12" s="57">
        <v>26.24</v>
      </c>
      <c r="H12" s="57">
        <v>27.06</v>
      </c>
      <c r="I12" s="57">
        <v>27.88</v>
      </c>
      <c r="J12" s="57">
        <v>28.7</v>
      </c>
      <c r="K12" s="57">
        <v>29.52</v>
      </c>
      <c r="L12" s="57">
        <v>30.33</v>
      </c>
      <c r="M12" s="57">
        <v>31.15</v>
      </c>
      <c r="N12" s="57">
        <v>31.97</v>
      </c>
      <c r="P12" s="58"/>
      <c r="T12">
        <v>9</v>
      </c>
      <c r="U12">
        <f>MATCH('IHC Program'!I27,$D$4:$D$18,0)</f>
        <v>4</v>
      </c>
      <c r="V12">
        <f>MATCH('IHC Program'!J27,$E$3:$N$3,0)</f>
        <v>5</v>
      </c>
      <c r="W12">
        <f>INDEX($E$4:$N$18,MATCH('IHC Program'!I27,$D$4:$D$18,0),MATCH('IHC Program'!J27,$E$3:$N$3,0))</f>
        <v>16.440000000000001</v>
      </c>
      <c r="AB12" s="57"/>
      <c r="AC12" s="57"/>
      <c r="AD12" s="57"/>
      <c r="AE12" s="57"/>
      <c r="AF12" s="57"/>
      <c r="AG12" s="57"/>
      <c r="AH12" s="57"/>
      <c r="AI12" s="57"/>
      <c r="AJ12" s="57"/>
      <c r="AK12" s="57"/>
    </row>
    <row r="13" spans="2:37" ht="12.75" customHeight="1" x14ac:dyDescent="0.3">
      <c r="C13">
        <v>10</v>
      </c>
      <c r="D13" t="s">
        <v>28</v>
      </c>
      <c r="E13" s="57">
        <v>27.09</v>
      </c>
      <c r="F13" s="57">
        <v>27.99</v>
      </c>
      <c r="G13" s="57">
        <v>28.89</v>
      </c>
      <c r="H13" s="57">
        <v>29.79</v>
      </c>
      <c r="I13" s="57">
        <v>30.7</v>
      </c>
      <c r="J13" s="57">
        <v>31.6</v>
      </c>
      <c r="K13" s="57">
        <v>32.5</v>
      </c>
      <c r="L13" s="57">
        <v>33.4</v>
      </c>
      <c r="M13" s="57">
        <v>34.31</v>
      </c>
      <c r="N13" s="57">
        <v>35.21</v>
      </c>
      <c r="T13">
        <v>10</v>
      </c>
      <c r="U13">
        <f>MATCH('IHC Program'!I28,$D$4:$D$18,0)</f>
        <v>4</v>
      </c>
      <c r="V13">
        <f>MATCH('IHC Program'!J28,$E$3:$N$3,0)</f>
        <v>5</v>
      </c>
      <c r="W13">
        <f>INDEX($E$4:$N$18,MATCH('IHC Program'!I28,$D$4:$D$18,0),MATCH('IHC Program'!J28,$E$3:$N$3,0))</f>
        <v>16.440000000000001</v>
      </c>
      <c r="AB13" s="57"/>
      <c r="AC13" s="57"/>
      <c r="AD13" s="57"/>
      <c r="AE13" s="57"/>
      <c r="AF13" s="57"/>
      <c r="AG13" s="57"/>
      <c r="AH13" s="57"/>
      <c r="AI13" s="57"/>
      <c r="AJ13" s="57"/>
      <c r="AK13" s="57"/>
    </row>
    <row r="14" spans="2:37" ht="12.75" customHeight="1" x14ac:dyDescent="0.3">
      <c r="C14">
        <v>11</v>
      </c>
      <c r="D14" t="s">
        <v>29</v>
      </c>
      <c r="E14" s="57">
        <v>29.76</v>
      </c>
      <c r="F14" s="57">
        <v>30.75</v>
      </c>
      <c r="G14" s="57">
        <v>31.74</v>
      </c>
      <c r="H14" s="57">
        <v>32.729999999999997</v>
      </c>
      <c r="I14" s="57">
        <v>33.729999999999997</v>
      </c>
      <c r="J14" s="57">
        <v>34.72</v>
      </c>
      <c r="K14" s="57">
        <v>35.71</v>
      </c>
      <c r="L14" s="57">
        <v>36.700000000000003</v>
      </c>
      <c r="M14" s="57">
        <v>37.69</v>
      </c>
      <c r="N14" s="57">
        <v>38.69</v>
      </c>
      <c r="P14" s="57"/>
      <c r="T14">
        <v>11</v>
      </c>
      <c r="U14">
        <f>MATCH('IHC Program'!I29,$D$4:$D$18,0)</f>
        <v>4</v>
      </c>
      <c r="V14">
        <f>MATCH('IHC Program'!J29,$E$3:$N$3,0)</f>
        <v>5</v>
      </c>
      <c r="W14">
        <f>INDEX($E$4:$N$18,MATCH('IHC Program'!I29,$D$4:$D$18,0),MATCH('IHC Program'!J29,$E$3:$N$3,0))</f>
        <v>16.440000000000001</v>
      </c>
      <c r="X14" s="59"/>
      <c r="Y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</row>
    <row r="15" spans="2:37" ht="12.75" customHeight="1" x14ac:dyDescent="0.3">
      <c r="C15">
        <v>12</v>
      </c>
      <c r="D15" t="s">
        <v>30</v>
      </c>
      <c r="E15" s="57">
        <v>35.67</v>
      </c>
      <c r="F15" s="57">
        <v>36.86</v>
      </c>
      <c r="G15" s="57">
        <v>38.049999999999997</v>
      </c>
      <c r="H15" s="57">
        <v>39.24</v>
      </c>
      <c r="I15" s="57">
        <v>40.42</v>
      </c>
      <c r="J15" s="57">
        <v>41.61</v>
      </c>
      <c r="K15" s="57">
        <v>42.8</v>
      </c>
      <c r="L15" s="57">
        <v>43.99</v>
      </c>
      <c r="M15" s="57">
        <v>45.18</v>
      </c>
      <c r="N15" s="57">
        <v>46.37</v>
      </c>
      <c r="T15">
        <v>12</v>
      </c>
      <c r="U15">
        <f>MATCH('IHC Program'!I30,$D$4:$D$18,0)</f>
        <v>4</v>
      </c>
      <c r="V15">
        <f>MATCH('IHC Program'!J30,$E$3:$N$3,0)</f>
        <v>3</v>
      </c>
      <c r="W15">
        <f>INDEX($E$4:$N$18,MATCH('IHC Program'!I30,$D$4:$D$18,0),MATCH('IHC Program'!J30,$E$3:$N$3,0))</f>
        <v>15.48</v>
      </c>
      <c r="Y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</row>
    <row r="16" spans="2:37" ht="12.75" customHeight="1" x14ac:dyDescent="0.3">
      <c r="C16">
        <v>13</v>
      </c>
      <c r="D16" t="s">
        <v>31</v>
      </c>
      <c r="E16" s="57">
        <v>42.41</v>
      </c>
      <c r="F16" s="57">
        <v>43.83</v>
      </c>
      <c r="G16" s="57">
        <v>45.24</v>
      </c>
      <c r="H16" s="57">
        <v>46.66</v>
      </c>
      <c r="I16" s="57">
        <v>48.07</v>
      </c>
      <c r="J16" s="57">
        <v>49.48</v>
      </c>
      <c r="K16" s="57">
        <v>50.9</v>
      </c>
      <c r="L16" s="57">
        <v>52.31</v>
      </c>
      <c r="M16" s="57">
        <v>53.73</v>
      </c>
      <c r="N16" s="57">
        <v>55.14</v>
      </c>
      <c r="T16">
        <v>13</v>
      </c>
      <c r="U16">
        <f>MATCH('IHC Program'!I31,$D$4:$D$18,0)</f>
        <v>4</v>
      </c>
      <c r="V16">
        <f>MATCH('IHC Program'!J31,$E$3:$N$3,0)</f>
        <v>3</v>
      </c>
      <c r="W16">
        <f>INDEX($E$4:$N$18,MATCH('IHC Program'!I31,$D$4:$D$18,0),MATCH('IHC Program'!J31,$E$3:$N$3,0))</f>
        <v>15.48</v>
      </c>
      <c r="Y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</row>
    <row r="17" spans="2:37" ht="12.75" customHeight="1" x14ac:dyDescent="0.3">
      <c r="C17">
        <v>14</v>
      </c>
      <c r="D17" t="s">
        <v>32</v>
      </c>
      <c r="E17" s="57">
        <v>50.12</v>
      </c>
      <c r="F17" s="57">
        <v>51.79</v>
      </c>
      <c r="G17" s="57">
        <v>53.46</v>
      </c>
      <c r="H17" s="57">
        <v>55.13</v>
      </c>
      <c r="I17" s="57">
        <v>56.8</v>
      </c>
      <c r="J17" s="57">
        <v>58.48</v>
      </c>
      <c r="K17" s="57">
        <v>60.15</v>
      </c>
      <c r="L17" s="57">
        <v>61.82</v>
      </c>
      <c r="M17" s="57">
        <v>63.49</v>
      </c>
      <c r="N17" s="57">
        <v>65.16</v>
      </c>
      <c r="T17">
        <v>14</v>
      </c>
      <c r="U17">
        <f>MATCH('IHC Program'!I32,$D$4:$D$18,0)</f>
        <v>4</v>
      </c>
      <c r="V17">
        <f>MATCH('IHC Program'!J32,$E$3:$N$3,0)</f>
        <v>3</v>
      </c>
      <c r="W17">
        <f>INDEX($E$4:$N$18,MATCH('IHC Program'!I32,$D$4:$D$18,0),MATCH('IHC Program'!J32,$E$3:$N$3,0))</f>
        <v>15.48</v>
      </c>
      <c r="Y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</row>
    <row r="18" spans="2:37" ht="12.75" customHeight="1" x14ac:dyDescent="0.3">
      <c r="C18">
        <v>15</v>
      </c>
      <c r="D18" t="s">
        <v>33</v>
      </c>
      <c r="E18" s="57">
        <v>58.96</v>
      </c>
      <c r="F18" s="57">
        <v>60.92</v>
      </c>
      <c r="G18" s="57">
        <v>62.89</v>
      </c>
      <c r="H18" s="57">
        <v>64.849999999999994</v>
      </c>
      <c r="I18" s="57">
        <v>66.819999999999993</v>
      </c>
      <c r="J18" s="57">
        <v>68.78</v>
      </c>
      <c r="K18" s="57">
        <v>70.75</v>
      </c>
      <c r="L18" s="57">
        <v>72.709999999999994</v>
      </c>
      <c r="M18" s="57">
        <v>74.680000000000007</v>
      </c>
      <c r="N18" s="57">
        <v>76.64</v>
      </c>
      <c r="T18">
        <v>15</v>
      </c>
      <c r="U18">
        <f>MATCH('IHC Program'!I33,$D$4:$D$18,0)</f>
        <v>4</v>
      </c>
      <c r="V18">
        <f>MATCH('IHC Program'!J33,$E$3:$N$3,0)</f>
        <v>3</v>
      </c>
      <c r="W18">
        <f>INDEX($E$4:$N$18,MATCH('IHC Program'!I33,$D$4:$D$18,0),MATCH('IHC Program'!J33,$E$3:$N$3,0))</f>
        <v>15.48</v>
      </c>
      <c r="Y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</row>
    <row r="19" spans="2:37" ht="12.75" customHeight="1" x14ac:dyDescent="0.3">
      <c r="D19" t="s">
        <v>102</v>
      </c>
      <c r="T19">
        <v>16</v>
      </c>
      <c r="U19">
        <f>MATCH('IHC Program'!I34,$D$4:$D$18,0)</f>
        <v>3</v>
      </c>
      <c r="V19">
        <f>MATCH('IHC Program'!J34,$E$3:$N$3,0)</f>
        <v>1</v>
      </c>
      <c r="W19">
        <f>INDEX($E$4:$N$18,MATCH('IHC Program'!I34,$D$4:$D$18,0),MATCH('IHC Program'!J34,$E$3:$N$3,0))</f>
        <v>12.93</v>
      </c>
      <c r="Y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</row>
    <row r="20" spans="2:37" ht="12.75" customHeight="1" x14ac:dyDescent="0.3">
      <c r="D20" t="s">
        <v>103</v>
      </c>
      <c r="T20">
        <v>17</v>
      </c>
      <c r="U20">
        <f>MATCH('IHC Program'!I35,$D$4:$D$18,0)</f>
        <v>3</v>
      </c>
      <c r="V20">
        <f>MATCH('IHC Program'!J35,$E$3:$N$3,0)</f>
        <v>1</v>
      </c>
      <c r="W20">
        <f>INDEX($E$4:$N$18,MATCH('IHC Program'!I35,$D$4:$D$18,0),MATCH('IHC Program'!J35,$E$3:$N$3,0))</f>
        <v>12.93</v>
      </c>
      <c r="Y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</row>
    <row r="21" spans="2:37" ht="12.75" customHeight="1" x14ac:dyDescent="0.3">
      <c r="D21" t="s">
        <v>106</v>
      </c>
      <c r="T21">
        <v>18</v>
      </c>
      <c r="U21">
        <f>MATCH('IHC Program'!I36,$D$4:$D$18,0)</f>
        <v>3</v>
      </c>
      <c r="V21">
        <f>MATCH('IHC Program'!J36,$E$3:$N$3,0)</f>
        <v>1</v>
      </c>
      <c r="W21">
        <f>INDEX($E$4:$N$18,MATCH('IHC Program'!I36,$D$4:$D$18,0),MATCH('IHC Program'!J36,$E$3:$N$3,0))</f>
        <v>12.93</v>
      </c>
      <c r="Y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</row>
    <row r="22" spans="2:37" ht="12.75" customHeight="1" x14ac:dyDescent="0.3">
      <c r="G22" t="s">
        <v>46</v>
      </c>
      <c r="H22" s="143" t="str">
        <f>'IHC Program'!B4</f>
        <v>2024 Standard RUS IHC
Program</v>
      </c>
      <c r="T22">
        <v>19</v>
      </c>
      <c r="U22">
        <f>MATCH('IHC Program'!I37,$D$4:$D$18,0)</f>
        <v>3</v>
      </c>
      <c r="V22">
        <f>MATCH('IHC Program'!J37,$E$3:$N$3,0)</f>
        <v>1</v>
      </c>
      <c r="W22">
        <f>INDEX($E$4:$N$18,MATCH('IHC Program'!I37,$D$4:$D$18,0),MATCH('IHC Program'!J37,$E$3:$N$3,0))</f>
        <v>12.93</v>
      </c>
      <c r="Y22" s="57"/>
    </row>
    <row r="23" spans="2:37" ht="12.75" customHeight="1" x14ac:dyDescent="0.3">
      <c r="C23" t="s">
        <v>46</v>
      </c>
      <c r="D23" t="s">
        <v>44</v>
      </c>
      <c r="E23" t="s">
        <v>45</v>
      </c>
      <c r="G23" s="60" t="s">
        <v>105</v>
      </c>
      <c r="H23" s="60"/>
      <c r="N23">
        <v>2022</v>
      </c>
      <c r="O23">
        <v>2023</v>
      </c>
      <c r="P23">
        <v>2024</v>
      </c>
      <c r="T23">
        <v>20</v>
      </c>
      <c r="U23">
        <f>MATCH('IHC Program'!I38,$D$4:$D$18,0)</f>
        <v>3</v>
      </c>
      <c r="V23">
        <f>MATCH('IHC Program'!J38,$E$3:$N$3,0)</f>
        <v>1</v>
      </c>
      <c r="W23">
        <f>INDEX($E$4:$N$18,MATCH('IHC Program'!I38,$D$4:$D$18,0),MATCH('IHC Program'!J38,$E$3:$N$3,0))</f>
        <v>12.93</v>
      </c>
      <c r="Y23" s="57"/>
    </row>
    <row r="24" spans="2:37" ht="12.75" customHeight="1" x14ac:dyDescent="0.3">
      <c r="B24" t="s">
        <v>47</v>
      </c>
      <c r="C24" s="61">
        <v>0.20250000000000001</v>
      </c>
      <c r="D24" s="62">
        <f>C24</f>
        <v>0.20250000000000001</v>
      </c>
      <c r="E24" s="63">
        <f>1+D24</f>
        <v>1.2025000000000001</v>
      </c>
      <c r="G24" s="64">
        <f>VLOOKUP('IHC Program'!$B$11,B24:E78,4,FALSE)</f>
        <v>1.1681999999999999</v>
      </c>
      <c r="H24" s="143" t="str">
        <f>'IHC Program'!B11</f>
        <v>REST OF UNITED STATES</v>
      </c>
      <c r="N24" s="142">
        <v>0.18679999999999999</v>
      </c>
      <c r="O24" s="142">
        <v>0.19450000000000001</v>
      </c>
      <c r="P24" s="198">
        <v>0.20250000000000001</v>
      </c>
      <c r="T24">
        <v>21</v>
      </c>
      <c r="U24">
        <f>MATCH('IHC Program'!I39,$D$4:$D$18,0)</f>
        <v>3</v>
      </c>
      <c r="V24">
        <f>MATCH('IHC Program'!J39,$E$3:$N$3,0)</f>
        <v>1</v>
      </c>
      <c r="W24">
        <f>INDEX($E$4:$N$18,MATCH('IHC Program'!I39,$D$4:$D$18,0),MATCH('IHC Program'!J39,$E$3:$N$3,0))</f>
        <v>12.93</v>
      </c>
    </row>
    <row r="25" spans="2:37" ht="12.75" customHeight="1" x14ac:dyDescent="0.3">
      <c r="B25" t="s">
        <v>48</v>
      </c>
      <c r="C25" s="61">
        <v>0.18049999999999999</v>
      </c>
      <c r="D25" s="62">
        <f>C25</f>
        <v>0.18049999999999999</v>
      </c>
      <c r="E25" s="63">
        <f>1+D25</f>
        <v>1.1804999999999999</v>
      </c>
      <c r="F25" s="65"/>
      <c r="G25" s="64"/>
      <c r="H25" s="65"/>
      <c r="I25" s="65"/>
      <c r="J25" s="65"/>
      <c r="K25" s="65"/>
      <c r="N25" s="142">
        <v>0.1714</v>
      </c>
      <c r="O25" s="142">
        <v>0.17630000000000001</v>
      </c>
      <c r="P25" s="198">
        <v>0.18049999999999999</v>
      </c>
      <c r="T25">
        <v>22</v>
      </c>
      <c r="U25">
        <f>MATCH('IHC Program'!I40,$D$4:$D$18,0)</f>
        <v>3</v>
      </c>
      <c r="V25">
        <f>MATCH('IHC Program'!J40,$E$3:$N$3,0)</f>
        <v>1</v>
      </c>
      <c r="W25">
        <f>INDEX($E$4:$N$18,MATCH('IHC Program'!I40,$D$4:$D$18,0),MATCH('IHC Program'!J40,$E$3:$N$3,0))</f>
        <v>12.93</v>
      </c>
    </row>
    <row r="26" spans="2:37" ht="12.75" customHeight="1" x14ac:dyDescent="0.3">
      <c r="B26" t="s">
        <v>49</v>
      </c>
      <c r="C26" s="61">
        <v>0.23449999999999999</v>
      </c>
      <c r="D26" s="62">
        <f t="shared" ref="D26:D78" si="0">C26</f>
        <v>0.23449999999999999</v>
      </c>
      <c r="E26" s="63">
        <f t="shared" ref="E26:E78" si="1">1+D26</f>
        <v>1.2344999999999999</v>
      </c>
      <c r="F26" s="65"/>
      <c r="G26" s="64"/>
      <c r="H26" s="65"/>
      <c r="I26" s="65"/>
      <c r="J26" s="65"/>
      <c r="K26" s="65"/>
      <c r="N26" s="142">
        <v>0.2263</v>
      </c>
      <c r="O26" s="142">
        <v>0.23019999999999999</v>
      </c>
      <c r="P26" s="198">
        <v>0.23449999999999999</v>
      </c>
      <c r="T26">
        <v>23</v>
      </c>
      <c r="U26">
        <f>MATCH('IHC Program'!I41,$D$4:$D$18,0)</f>
        <v>3</v>
      </c>
      <c r="V26">
        <f>MATCH('IHC Program'!J41,$E$3:$N$3,0)</f>
        <v>1</v>
      </c>
      <c r="W26">
        <f>INDEX($E$4:$N$18,MATCH('IHC Program'!I41,$D$4:$D$18,0),MATCH('IHC Program'!J41,$E$3:$N$3,0))</f>
        <v>12.93</v>
      </c>
    </row>
    <row r="27" spans="2:37" ht="12.75" customHeight="1" x14ac:dyDescent="0.3">
      <c r="B27" t="s">
        <v>50</v>
      </c>
      <c r="C27" s="61">
        <v>0.19989999999999999</v>
      </c>
      <c r="D27" s="62">
        <f t="shared" si="0"/>
        <v>0.19989999999999999</v>
      </c>
      <c r="E27" s="63">
        <f t="shared" si="1"/>
        <v>1.1999</v>
      </c>
      <c r="F27" s="65"/>
      <c r="G27" s="64"/>
      <c r="H27" s="65"/>
      <c r="I27" s="65"/>
      <c r="J27" s="65"/>
      <c r="K27" s="65"/>
      <c r="N27" s="142">
        <v>0.188</v>
      </c>
      <c r="O27" s="142">
        <v>0.19400000000000001</v>
      </c>
      <c r="P27" s="198">
        <v>0.19989999999999999</v>
      </c>
      <c r="T27">
        <v>24</v>
      </c>
      <c r="U27">
        <f>MATCH('IHC Program'!I42,$D$4:$D$18,0)</f>
        <v>3</v>
      </c>
      <c r="V27">
        <f>MATCH('IHC Program'!J42,$E$3:$N$3,0)</f>
        <v>1</v>
      </c>
      <c r="W27">
        <f>INDEX($E$4:$N$18,MATCH('IHC Program'!I42,$D$4:$D$18,0),MATCH('IHC Program'!J42,$E$3:$N$3,0))</f>
        <v>12.93</v>
      </c>
    </row>
    <row r="28" spans="2:37" ht="12.75" customHeight="1" x14ac:dyDescent="0.3">
      <c r="B28" t="s">
        <v>51</v>
      </c>
      <c r="C28" s="61">
        <v>0.17910000000000001</v>
      </c>
      <c r="D28" s="62">
        <f t="shared" si="0"/>
        <v>0.17910000000000001</v>
      </c>
      <c r="E28" s="63">
        <f t="shared" si="1"/>
        <v>1.1791</v>
      </c>
      <c r="F28" s="65"/>
      <c r="G28" s="64"/>
      <c r="H28" s="65"/>
      <c r="I28" s="65"/>
      <c r="J28" s="65"/>
      <c r="K28" s="65"/>
      <c r="N28" s="142">
        <v>0.1681</v>
      </c>
      <c r="O28" s="142">
        <v>0.1741</v>
      </c>
      <c r="P28" s="198">
        <v>0.17910000000000001</v>
      </c>
    </row>
    <row r="29" spans="2:37" ht="12.75" customHeight="1" x14ac:dyDescent="0.3">
      <c r="B29" t="s">
        <v>52</v>
      </c>
      <c r="C29" s="61">
        <v>0.31969999999999998</v>
      </c>
      <c r="D29" s="62">
        <f t="shared" si="0"/>
        <v>0.31969999999999998</v>
      </c>
      <c r="E29" s="63">
        <f t="shared" si="1"/>
        <v>1.3197000000000001</v>
      </c>
      <c r="F29" s="65"/>
      <c r="G29" s="64"/>
      <c r="H29" s="65"/>
      <c r="I29" s="65"/>
      <c r="J29" s="65"/>
      <c r="K29" s="65"/>
      <c r="N29" s="142">
        <v>0.3009</v>
      </c>
      <c r="O29" s="142">
        <v>0.3105</v>
      </c>
      <c r="P29" s="198">
        <v>0.31969999999999998</v>
      </c>
    </row>
    <row r="30" spans="2:37" ht="12.75" customHeight="1" x14ac:dyDescent="0.3">
      <c r="B30" t="s">
        <v>53</v>
      </c>
      <c r="C30" s="61">
        <v>0.21990000000000001</v>
      </c>
      <c r="D30" s="62">
        <f t="shared" si="0"/>
        <v>0.21990000000000001</v>
      </c>
      <c r="E30" s="63">
        <f t="shared" si="1"/>
        <v>1.2199</v>
      </c>
      <c r="F30" s="65"/>
      <c r="G30" s="64"/>
      <c r="H30" s="65"/>
      <c r="I30" s="65"/>
      <c r="J30" s="65"/>
      <c r="K30" s="65"/>
      <c r="N30" s="142">
        <v>0.20780000000000001</v>
      </c>
      <c r="O30" s="142">
        <v>0.2135</v>
      </c>
      <c r="P30" s="198">
        <v>0.21990000000000001</v>
      </c>
    </row>
    <row r="31" spans="2:37" ht="12.75" customHeight="1" x14ac:dyDescent="0.3">
      <c r="B31" t="s">
        <v>54</v>
      </c>
      <c r="C31" s="61">
        <v>0.18970000000000001</v>
      </c>
      <c r="D31" s="62">
        <f t="shared" si="0"/>
        <v>0.18970000000000001</v>
      </c>
      <c r="E31" s="63">
        <f t="shared" si="1"/>
        <v>1.1897</v>
      </c>
      <c r="F31" s="65"/>
      <c r="G31" s="64"/>
      <c r="H31" s="65"/>
      <c r="I31" s="65"/>
      <c r="J31" s="65"/>
      <c r="K31" s="65"/>
      <c r="N31" s="142">
        <v>0.1762</v>
      </c>
      <c r="O31" s="142">
        <v>0.18310000000000001</v>
      </c>
      <c r="P31" s="198">
        <v>0.18970000000000001</v>
      </c>
    </row>
    <row r="32" spans="2:37" ht="12.75" customHeight="1" x14ac:dyDescent="0.3">
      <c r="B32" t="s">
        <v>55</v>
      </c>
      <c r="C32" s="61">
        <v>0.19259999999999999</v>
      </c>
      <c r="D32" s="62">
        <f t="shared" si="0"/>
        <v>0.19259999999999999</v>
      </c>
      <c r="E32" s="63">
        <f t="shared" si="1"/>
        <v>1.1926000000000001</v>
      </c>
      <c r="F32" s="65"/>
      <c r="G32" s="65"/>
      <c r="H32" s="65"/>
      <c r="I32" s="65"/>
      <c r="J32" s="65"/>
      <c r="K32" s="65"/>
      <c r="N32" s="142">
        <v>0.18060000000000001</v>
      </c>
      <c r="O32" s="142">
        <v>0.18629999999999999</v>
      </c>
      <c r="P32" s="198">
        <v>0.19259999999999999</v>
      </c>
    </row>
    <row r="33" spans="2:16" ht="12.75" customHeight="1" x14ac:dyDescent="0.3">
      <c r="B33" t="s">
        <v>56</v>
      </c>
      <c r="C33" s="61">
        <v>0.30409999999999998</v>
      </c>
      <c r="D33" s="62">
        <f t="shared" si="0"/>
        <v>0.30409999999999998</v>
      </c>
      <c r="E33" s="63">
        <f t="shared" si="1"/>
        <v>1.3041</v>
      </c>
      <c r="F33" s="65"/>
      <c r="G33" s="65"/>
      <c r="H33" s="65"/>
      <c r="I33" s="65"/>
      <c r="J33" s="65"/>
      <c r="K33" s="65"/>
      <c r="N33" s="142">
        <v>0.2918</v>
      </c>
      <c r="O33" s="142">
        <v>0.2979</v>
      </c>
      <c r="P33" s="198">
        <v>0.30409999999999998</v>
      </c>
    </row>
    <row r="34" spans="2:16" ht="12.75" customHeight="1" x14ac:dyDescent="0.3">
      <c r="B34" t="s">
        <v>57</v>
      </c>
      <c r="C34" s="61">
        <v>0.21690000000000001</v>
      </c>
      <c r="D34" s="62">
        <f t="shared" si="0"/>
        <v>0.21690000000000001</v>
      </c>
      <c r="E34" s="63">
        <f t="shared" si="1"/>
        <v>1.2169000000000001</v>
      </c>
      <c r="F34" s="65"/>
      <c r="G34" s="65"/>
      <c r="H34" s="65"/>
      <c r="I34" s="65"/>
      <c r="J34" s="65"/>
      <c r="K34" s="65"/>
      <c r="N34" s="142">
        <v>0.2094</v>
      </c>
      <c r="O34" s="142">
        <v>0.2135</v>
      </c>
      <c r="P34" s="198">
        <v>0.21690000000000001</v>
      </c>
    </row>
    <row r="35" spans="2:16" ht="12.75" customHeight="1" x14ac:dyDescent="0.3">
      <c r="B35" t="s">
        <v>58</v>
      </c>
      <c r="C35" s="61">
        <v>0.22009999999999999</v>
      </c>
      <c r="D35" s="62">
        <f t="shared" si="0"/>
        <v>0.22009999999999999</v>
      </c>
      <c r="E35" s="63">
        <f t="shared" si="1"/>
        <v>1.2201</v>
      </c>
      <c r="F35" s="65"/>
      <c r="G35" s="65"/>
      <c r="H35" s="65"/>
      <c r="I35" s="65"/>
      <c r="J35" s="65"/>
      <c r="K35" s="65"/>
      <c r="N35" s="142">
        <v>0.21249999999999999</v>
      </c>
      <c r="O35" s="142">
        <v>0.21690000000000001</v>
      </c>
      <c r="P35" s="198">
        <v>0.22009999999999999</v>
      </c>
    </row>
    <row r="36" spans="2:16" ht="12.75" customHeight="1" x14ac:dyDescent="0.3">
      <c r="B36" t="s">
        <v>59</v>
      </c>
      <c r="C36" s="61">
        <v>0.1973</v>
      </c>
      <c r="D36" s="62">
        <f t="shared" si="0"/>
        <v>0.1973</v>
      </c>
      <c r="E36" s="63">
        <f t="shared" si="1"/>
        <v>1.1973</v>
      </c>
      <c r="F36" s="65"/>
      <c r="G36" s="65"/>
      <c r="H36" s="65"/>
      <c r="I36" s="65"/>
      <c r="J36" s="65"/>
      <c r="K36" s="65"/>
      <c r="N36" s="142">
        <v>0.1842</v>
      </c>
      <c r="O36" s="142">
        <v>0.19109999999999999</v>
      </c>
      <c r="P36" s="198">
        <v>0.1973</v>
      </c>
    </row>
    <row r="37" spans="2:16" ht="12.75" customHeight="1" x14ac:dyDescent="0.3">
      <c r="B37" t="s">
        <v>60</v>
      </c>
      <c r="C37" s="61">
        <v>0.218</v>
      </c>
      <c r="D37" s="62">
        <f t="shared" si="0"/>
        <v>0.218</v>
      </c>
      <c r="E37" s="63">
        <f t="shared" si="1"/>
        <v>1.218</v>
      </c>
      <c r="F37" s="65"/>
      <c r="G37" s="65"/>
      <c r="H37" s="65"/>
      <c r="I37" s="65"/>
      <c r="J37" s="65"/>
      <c r="K37" s="65"/>
      <c r="N37" s="142">
        <v>0.2069</v>
      </c>
      <c r="O37" s="142">
        <v>0.2127</v>
      </c>
      <c r="P37" s="198">
        <v>0.218</v>
      </c>
    </row>
    <row r="38" spans="2:16" ht="12.75" customHeight="1" x14ac:dyDescent="0.3">
      <c r="B38" t="s">
        <v>61</v>
      </c>
      <c r="C38" s="61">
        <v>0.17399999999999999</v>
      </c>
      <c r="D38" s="62">
        <f t="shared" si="0"/>
        <v>0.17399999999999999</v>
      </c>
      <c r="E38" s="63">
        <f t="shared" si="1"/>
        <v>1.1739999999999999</v>
      </c>
      <c r="F38" s="65"/>
      <c r="G38" s="65"/>
      <c r="H38" s="65"/>
      <c r="I38" s="65"/>
      <c r="J38" s="65"/>
      <c r="K38" s="65"/>
      <c r="N38" s="142">
        <v>0.16819999999999999</v>
      </c>
      <c r="O38" s="142">
        <v>0.17100000000000001</v>
      </c>
      <c r="P38" s="198">
        <v>0.17399999999999999</v>
      </c>
    </row>
    <row r="39" spans="2:16" ht="12.75" customHeight="1" x14ac:dyDescent="0.3">
      <c r="B39" t="s">
        <v>62</v>
      </c>
      <c r="C39" s="61">
        <v>0.26910000000000001</v>
      </c>
      <c r="D39" s="62">
        <f t="shared" si="0"/>
        <v>0.26910000000000001</v>
      </c>
      <c r="E39" s="63">
        <f t="shared" si="1"/>
        <v>1.2690999999999999</v>
      </c>
      <c r="F39" s="65"/>
      <c r="G39" s="65"/>
      <c r="H39" s="65"/>
      <c r="I39" s="65"/>
      <c r="J39" s="65"/>
      <c r="K39" s="65"/>
      <c r="N39" s="142">
        <v>0.25679999999999997</v>
      </c>
      <c r="O39" s="142">
        <v>0.26369999999999999</v>
      </c>
      <c r="P39" s="198">
        <v>0.26910000000000001</v>
      </c>
    </row>
    <row r="40" spans="2:16" ht="12.75" customHeight="1" x14ac:dyDescent="0.3">
      <c r="B40" t="s">
        <v>63</v>
      </c>
      <c r="C40" s="61">
        <v>0.18659999999999999</v>
      </c>
      <c r="D40" s="62">
        <f t="shared" si="0"/>
        <v>0.18659999999999999</v>
      </c>
      <c r="E40" s="63">
        <f t="shared" si="1"/>
        <v>1.1865999999999999</v>
      </c>
      <c r="N40" s="142">
        <v>0.17580000000000001</v>
      </c>
      <c r="O40" s="142">
        <v>0.18210000000000001</v>
      </c>
      <c r="P40" s="198">
        <v>0.18659999999999999</v>
      </c>
    </row>
    <row r="41" spans="2:16" ht="12.75" customHeight="1" x14ac:dyDescent="0.3">
      <c r="B41" t="s">
        <v>64</v>
      </c>
      <c r="C41" s="61">
        <v>0.2114</v>
      </c>
      <c r="D41" s="62">
        <f t="shared" si="0"/>
        <v>0.2114</v>
      </c>
      <c r="E41" s="63">
        <f t="shared" si="1"/>
        <v>1.2114</v>
      </c>
      <c r="N41" s="142">
        <v>0.1993</v>
      </c>
      <c r="O41" s="142">
        <v>0.2059</v>
      </c>
      <c r="P41" s="198">
        <v>0.2114</v>
      </c>
    </row>
    <row r="42" spans="2:16" x14ac:dyDescent="0.3">
      <c r="B42" t="s">
        <v>65</v>
      </c>
      <c r="C42" s="61">
        <v>0.29880000000000001</v>
      </c>
      <c r="D42" s="62">
        <f t="shared" si="0"/>
        <v>0.29880000000000001</v>
      </c>
      <c r="E42" s="63">
        <f t="shared" si="1"/>
        <v>1.2988</v>
      </c>
      <c r="N42" s="142">
        <v>0.28100000000000003</v>
      </c>
      <c r="O42" s="142">
        <v>0.29049999999999998</v>
      </c>
      <c r="P42" s="198">
        <v>0.29880000000000001</v>
      </c>
    </row>
    <row r="43" spans="2:16" x14ac:dyDescent="0.3">
      <c r="B43" t="s">
        <v>66</v>
      </c>
      <c r="C43" s="61">
        <v>0.17680000000000001</v>
      </c>
      <c r="D43" s="62">
        <f t="shared" si="0"/>
        <v>0.17680000000000001</v>
      </c>
      <c r="E43" s="63">
        <f t="shared" si="1"/>
        <v>1.1768000000000001</v>
      </c>
      <c r="N43" s="142">
        <v>0.16520000000000001</v>
      </c>
      <c r="O43" s="142">
        <v>0.17130000000000001</v>
      </c>
      <c r="P43" s="198">
        <v>0.17680000000000001</v>
      </c>
    </row>
    <row r="44" spans="2:16" x14ac:dyDescent="0.3">
      <c r="B44" t="s">
        <v>67</v>
      </c>
      <c r="C44" s="61">
        <v>0.28820000000000001</v>
      </c>
      <c r="D44" s="62">
        <f t="shared" si="0"/>
        <v>0.28820000000000001</v>
      </c>
      <c r="E44" s="63">
        <f t="shared" si="1"/>
        <v>1.2882</v>
      </c>
      <c r="N44" s="142">
        <v>0.27860000000000001</v>
      </c>
      <c r="O44" s="142">
        <v>0.28370000000000001</v>
      </c>
      <c r="P44" s="198">
        <v>0.28820000000000001</v>
      </c>
    </row>
    <row r="45" spans="2:16" x14ac:dyDescent="0.3">
      <c r="B45" t="s">
        <v>68</v>
      </c>
      <c r="C45" s="61">
        <v>0.191</v>
      </c>
      <c r="D45" s="62">
        <f t="shared" si="0"/>
        <v>0.191</v>
      </c>
      <c r="E45" s="63">
        <f t="shared" si="1"/>
        <v>1.1910000000000001</v>
      </c>
      <c r="N45" s="142">
        <v>0.17899999999999999</v>
      </c>
      <c r="O45" s="142">
        <v>0.18590000000000001</v>
      </c>
      <c r="P45" s="198">
        <v>0.191</v>
      </c>
    </row>
    <row r="46" spans="2:16" x14ac:dyDescent="0.3">
      <c r="B46" t="s">
        <v>69</v>
      </c>
      <c r="C46" s="61">
        <v>0.31619999999999998</v>
      </c>
      <c r="D46" s="62">
        <f t="shared" si="0"/>
        <v>0.31619999999999998</v>
      </c>
      <c r="E46" s="63">
        <f t="shared" si="1"/>
        <v>1.3162</v>
      </c>
      <c r="N46" s="142">
        <v>0.30199999999999999</v>
      </c>
      <c r="O46" s="142">
        <v>0.30909999999999999</v>
      </c>
      <c r="P46" s="198">
        <v>0.31619999999999998</v>
      </c>
    </row>
    <row r="47" spans="2:16" x14ac:dyDescent="0.3">
      <c r="B47" t="s">
        <v>70</v>
      </c>
      <c r="C47" s="61">
        <v>0.34720000000000001</v>
      </c>
      <c r="D47" s="62">
        <f t="shared" si="0"/>
        <v>0.34720000000000001</v>
      </c>
      <c r="E47" s="63">
        <f t="shared" si="1"/>
        <v>1.3472</v>
      </c>
      <c r="N47" s="142">
        <v>0.33960000000000001</v>
      </c>
      <c r="O47" s="142">
        <v>0.34470000000000001</v>
      </c>
      <c r="P47" s="198">
        <v>0.34720000000000001</v>
      </c>
    </row>
    <row r="48" spans="2:16" x14ac:dyDescent="0.3">
      <c r="B48" t="s">
        <v>71</v>
      </c>
      <c r="C48" s="61">
        <v>0.21479999999999999</v>
      </c>
      <c r="D48" s="62">
        <f t="shared" si="0"/>
        <v>0.21479999999999999</v>
      </c>
      <c r="E48" s="63">
        <f t="shared" si="1"/>
        <v>1.2147999999999999</v>
      </c>
      <c r="N48" s="142">
        <v>0.20449999999999999</v>
      </c>
      <c r="O48" s="142">
        <v>0.20960000000000001</v>
      </c>
      <c r="P48" s="198">
        <v>0.21479999999999999</v>
      </c>
    </row>
    <row r="49" spans="2:16" x14ac:dyDescent="0.3">
      <c r="B49" t="s">
        <v>72</v>
      </c>
      <c r="C49" s="61">
        <v>0.1789</v>
      </c>
      <c r="D49" s="62">
        <f t="shared" si="0"/>
        <v>0.1789</v>
      </c>
      <c r="E49" s="63">
        <f t="shared" si="1"/>
        <v>1.1789000000000001</v>
      </c>
      <c r="N49" s="142">
        <v>0.1726</v>
      </c>
      <c r="O49" s="142">
        <v>0.1757</v>
      </c>
      <c r="P49" s="198">
        <v>0.1789</v>
      </c>
    </row>
    <row r="50" spans="2:16" x14ac:dyDescent="0.3">
      <c r="B50" t="s">
        <v>73</v>
      </c>
      <c r="C50" s="61">
        <v>0.1865</v>
      </c>
      <c r="D50" s="62">
        <f t="shared" si="0"/>
        <v>0.1865</v>
      </c>
      <c r="E50" s="63">
        <f t="shared" si="1"/>
        <v>1.1865000000000001</v>
      </c>
      <c r="N50" s="142">
        <v>0.1767</v>
      </c>
      <c r="O50" s="142">
        <v>0.18179999999999999</v>
      </c>
      <c r="P50" s="198">
        <v>0.1865</v>
      </c>
    </row>
    <row r="51" spans="2:16" x14ac:dyDescent="0.3">
      <c r="B51" t="s">
        <v>74</v>
      </c>
      <c r="C51" s="61">
        <v>0.21329999999999999</v>
      </c>
      <c r="D51" s="62">
        <f t="shared" si="0"/>
        <v>0.21329999999999999</v>
      </c>
      <c r="E51" s="63">
        <f t="shared" si="1"/>
        <v>1.2133</v>
      </c>
      <c r="N51" s="142">
        <v>0.19850000000000001</v>
      </c>
      <c r="O51" s="142">
        <v>0.2064</v>
      </c>
      <c r="P51" s="198">
        <v>0.21329999999999999</v>
      </c>
    </row>
    <row r="52" spans="2:16" x14ac:dyDescent="0.3">
      <c r="B52" t="s">
        <v>75</v>
      </c>
      <c r="C52" s="61">
        <v>0.1923</v>
      </c>
      <c r="D52" s="62">
        <f t="shared" si="0"/>
        <v>0.1923</v>
      </c>
      <c r="E52" s="63">
        <f t="shared" si="1"/>
        <v>1.1922999999999999</v>
      </c>
      <c r="N52" s="142">
        <v>0.1825</v>
      </c>
      <c r="O52" s="142">
        <v>0.18759999999999999</v>
      </c>
      <c r="P52" s="198">
        <v>0.1923</v>
      </c>
    </row>
    <row r="53" spans="2:16" x14ac:dyDescent="0.3">
      <c r="B53" t="s">
        <v>76</v>
      </c>
      <c r="C53" s="61">
        <v>0.3584</v>
      </c>
      <c r="D53" s="62">
        <f t="shared" si="0"/>
        <v>0.3584</v>
      </c>
      <c r="E53" s="63">
        <f t="shared" si="1"/>
        <v>1.3584000000000001</v>
      </c>
      <c r="N53" s="142">
        <v>0.33610000000000001</v>
      </c>
      <c r="O53" s="142">
        <v>0.34889999999999999</v>
      </c>
      <c r="P53" s="198">
        <v>0.3584</v>
      </c>
    </row>
    <row r="54" spans="2:16" x14ac:dyDescent="0.3">
      <c r="B54" t="s">
        <v>77</v>
      </c>
      <c r="C54" s="61">
        <v>0.2442</v>
      </c>
      <c r="D54" s="62">
        <f t="shared" si="0"/>
        <v>0.2442</v>
      </c>
      <c r="E54" s="63">
        <f t="shared" si="1"/>
        <v>1.2442</v>
      </c>
      <c r="N54" s="142">
        <v>0.23799999999999999</v>
      </c>
      <c r="O54" s="142">
        <v>0.2414</v>
      </c>
      <c r="P54" s="198">
        <v>0.2442</v>
      </c>
    </row>
    <row r="55" spans="2:16" x14ac:dyDescent="0.3">
      <c r="B55" t="s">
        <v>78</v>
      </c>
      <c r="C55" s="61">
        <v>0.2215</v>
      </c>
      <c r="D55" s="62">
        <f t="shared" si="0"/>
        <v>0.2215</v>
      </c>
      <c r="E55" s="63">
        <f t="shared" si="1"/>
        <v>1.2215</v>
      </c>
      <c r="N55" s="142">
        <v>0.31319999999999998</v>
      </c>
      <c r="O55" s="142">
        <v>0.21740000000000001</v>
      </c>
      <c r="P55" s="198">
        <v>0.2215</v>
      </c>
    </row>
    <row r="56" spans="2:16" x14ac:dyDescent="0.3">
      <c r="B56" t="s">
        <v>79</v>
      </c>
      <c r="C56" s="61">
        <v>0.27150000000000002</v>
      </c>
      <c r="D56" s="62">
        <f t="shared" si="0"/>
        <v>0.27150000000000002</v>
      </c>
      <c r="E56" s="63">
        <f t="shared" si="1"/>
        <v>1.2715000000000001</v>
      </c>
      <c r="N56" s="142">
        <v>0.25490000000000002</v>
      </c>
      <c r="O56" s="142">
        <v>0.26390000000000002</v>
      </c>
      <c r="P56" s="198">
        <v>0.27150000000000002</v>
      </c>
    </row>
    <row r="57" spans="2:16" x14ac:dyDescent="0.3">
      <c r="B57" t="s">
        <v>80</v>
      </c>
      <c r="C57" s="61">
        <v>0.37240000000000001</v>
      </c>
      <c r="D57" s="62">
        <f t="shared" si="0"/>
        <v>0.37240000000000001</v>
      </c>
      <c r="E57" s="63">
        <f t="shared" si="1"/>
        <v>1.3724000000000001</v>
      </c>
      <c r="N57" s="142">
        <v>0.35060000000000002</v>
      </c>
      <c r="O57" s="142">
        <v>0.36159999999999998</v>
      </c>
      <c r="P57" s="198">
        <v>0.37240000000000001</v>
      </c>
    </row>
    <row r="58" spans="2:16" x14ac:dyDescent="0.3">
      <c r="B58" t="s">
        <v>81</v>
      </c>
      <c r="C58" s="61">
        <v>0.1794</v>
      </c>
      <c r="D58" s="62">
        <f t="shared" si="0"/>
        <v>0.1794</v>
      </c>
      <c r="E58" s="63">
        <f t="shared" si="1"/>
        <v>1.1794</v>
      </c>
      <c r="N58" s="142">
        <v>0.16930000000000001</v>
      </c>
      <c r="O58" s="142">
        <v>0.17519999999999999</v>
      </c>
      <c r="P58" s="198">
        <v>0.1794</v>
      </c>
    </row>
    <row r="59" spans="2:16" x14ac:dyDescent="0.3">
      <c r="B59" t="s">
        <v>82</v>
      </c>
      <c r="C59" s="61">
        <v>0.17599999999999999</v>
      </c>
      <c r="D59" s="62">
        <f t="shared" si="0"/>
        <v>0.17599999999999999</v>
      </c>
      <c r="E59" s="63">
        <f t="shared" si="1"/>
        <v>1.1759999999999999</v>
      </c>
      <c r="N59" s="142">
        <v>0.1701</v>
      </c>
      <c r="O59" s="142">
        <v>0.17299999999999999</v>
      </c>
      <c r="P59" s="198">
        <v>0.17599999999999999</v>
      </c>
    </row>
    <row r="60" spans="2:16" x14ac:dyDescent="0.3">
      <c r="B60" t="s">
        <v>83</v>
      </c>
      <c r="C60" s="61">
        <v>0.28549999999999998</v>
      </c>
      <c r="D60" s="62">
        <f t="shared" si="0"/>
        <v>0.28549999999999998</v>
      </c>
      <c r="E60" s="63">
        <f t="shared" si="1"/>
        <v>1.2854999999999999</v>
      </c>
      <c r="N60" s="142">
        <v>0.26950000000000002</v>
      </c>
      <c r="O60" s="142">
        <v>0.27839999999999998</v>
      </c>
      <c r="P60" s="198">
        <v>0.28549999999999998</v>
      </c>
    </row>
    <row r="61" spans="2:16" x14ac:dyDescent="0.3">
      <c r="B61" t="s">
        <v>84</v>
      </c>
      <c r="C61" s="61">
        <v>0.22020000000000001</v>
      </c>
      <c r="D61" s="62">
        <f t="shared" si="0"/>
        <v>0.22020000000000001</v>
      </c>
      <c r="E61" s="63">
        <f t="shared" si="1"/>
        <v>1.2202</v>
      </c>
      <c r="N61" s="142">
        <v>0.2084</v>
      </c>
      <c r="O61" s="142">
        <v>0.21440000000000001</v>
      </c>
      <c r="P61" s="198">
        <v>0.22020000000000001</v>
      </c>
    </row>
    <row r="62" spans="2:16" x14ac:dyDescent="0.3">
      <c r="B62" t="s">
        <v>85</v>
      </c>
      <c r="C62" s="61">
        <v>0.20780000000000001</v>
      </c>
      <c r="D62" s="62">
        <f t="shared" si="0"/>
        <v>0.20780000000000001</v>
      </c>
      <c r="E62" s="63">
        <f t="shared" si="1"/>
        <v>1.2078</v>
      </c>
      <c r="N62" s="142">
        <v>0.19900000000000001</v>
      </c>
      <c r="O62" s="142">
        <v>0.20369999999999999</v>
      </c>
      <c r="P62" s="198">
        <v>0.20780000000000001</v>
      </c>
    </row>
    <row r="63" spans="2:16" x14ac:dyDescent="0.3">
      <c r="B63" t="s">
        <v>86</v>
      </c>
      <c r="C63" s="61">
        <v>0.25659999999999999</v>
      </c>
      <c r="D63" s="62">
        <f t="shared" si="0"/>
        <v>0.25659999999999999</v>
      </c>
      <c r="E63" s="63">
        <f t="shared" si="1"/>
        <v>1.2565999999999999</v>
      </c>
      <c r="N63" s="142">
        <v>0.24340000000000001</v>
      </c>
      <c r="O63" s="142">
        <v>0.24979999999999999</v>
      </c>
      <c r="P63" s="198">
        <v>0.25659999999999999</v>
      </c>
    </row>
    <row r="64" spans="2:16" x14ac:dyDescent="0.3">
      <c r="B64" t="s">
        <v>87</v>
      </c>
      <c r="C64" s="61">
        <v>0.219</v>
      </c>
      <c r="D64" s="62">
        <f t="shared" si="0"/>
        <v>0.219</v>
      </c>
      <c r="E64" s="63">
        <f t="shared" si="1"/>
        <v>1.2190000000000001</v>
      </c>
      <c r="N64" s="142">
        <v>0.2094</v>
      </c>
      <c r="O64" s="142">
        <v>0.2137</v>
      </c>
      <c r="P64" s="198">
        <v>0.219</v>
      </c>
    </row>
    <row r="65" spans="2:16" x14ac:dyDescent="0.3">
      <c r="B65" t="s">
        <v>149</v>
      </c>
      <c r="C65" s="61">
        <v>0.1711</v>
      </c>
      <c r="D65" s="62">
        <f t="shared" si="0"/>
        <v>0.1711</v>
      </c>
      <c r="E65" s="63">
        <f t="shared" si="1"/>
        <v>1.1711</v>
      </c>
      <c r="N65" s="142"/>
      <c r="O65" s="142"/>
      <c r="P65" s="198">
        <v>0.1711</v>
      </c>
    </row>
    <row r="66" spans="2:16" x14ac:dyDescent="0.3">
      <c r="B66" t="s">
        <v>88</v>
      </c>
      <c r="C66" s="61">
        <v>0.21909999999999999</v>
      </c>
      <c r="D66" s="62">
        <f t="shared" si="0"/>
        <v>0.21909999999999999</v>
      </c>
      <c r="E66" s="63">
        <f t="shared" si="1"/>
        <v>1.2191000000000001</v>
      </c>
      <c r="N66" s="142">
        <v>0.2064</v>
      </c>
      <c r="O66" s="142">
        <v>0.21379999999999999</v>
      </c>
      <c r="P66" s="198">
        <v>0.21909999999999999</v>
      </c>
    </row>
    <row r="67" spans="2:16" x14ac:dyDescent="0.3">
      <c r="B67" t="s">
        <v>89</v>
      </c>
      <c r="C67" s="61">
        <v>0.29160000000000003</v>
      </c>
      <c r="D67" s="62">
        <f t="shared" si="0"/>
        <v>0.29160000000000003</v>
      </c>
      <c r="E67" s="63">
        <f t="shared" si="1"/>
        <v>1.2916000000000001</v>
      </c>
      <c r="N67" s="142">
        <v>0.27300000000000002</v>
      </c>
      <c r="O67" s="142">
        <v>0.28299999999999997</v>
      </c>
      <c r="P67" s="198">
        <v>0.29160000000000003</v>
      </c>
    </row>
    <row r="68" spans="2:16" x14ac:dyDescent="0.3">
      <c r="B68" t="s">
        <v>90</v>
      </c>
      <c r="C68" s="61">
        <v>0.18490000000000001</v>
      </c>
      <c r="D68" s="62">
        <f t="shared" si="0"/>
        <v>0.18490000000000001</v>
      </c>
      <c r="E68" s="63">
        <f t="shared" si="1"/>
        <v>1.1849000000000001</v>
      </c>
      <c r="N68" s="142">
        <v>0.1739</v>
      </c>
      <c r="O68" s="142">
        <v>0.18</v>
      </c>
      <c r="P68" s="198">
        <v>0.18490000000000001</v>
      </c>
    </row>
    <row r="69" spans="2:16" x14ac:dyDescent="0.3">
      <c r="B69" t="s">
        <v>91</v>
      </c>
      <c r="C69" s="61">
        <v>0.33050000000000002</v>
      </c>
      <c r="D69" s="62">
        <f t="shared" si="0"/>
        <v>0.33050000000000002</v>
      </c>
      <c r="E69" s="63">
        <f t="shared" si="1"/>
        <v>1.3305</v>
      </c>
      <c r="N69" s="142">
        <v>0.30869999999999997</v>
      </c>
      <c r="O69" s="142">
        <v>0.3201</v>
      </c>
      <c r="P69" s="198">
        <v>0.33050000000000002</v>
      </c>
    </row>
    <row r="70" spans="2:16" x14ac:dyDescent="0.3">
      <c r="B70" t="s">
        <v>92</v>
      </c>
      <c r="C70" s="61">
        <v>0.4541</v>
      </c>
      <c r="D70" s="62">
        <f t="shared" si="0"/>
        <v>0.4541</v>
      </c>
      <c r="E70" s="63">
        <f t="shared" si="1"/>
        <v>1.4540999999999999</v>
      </c>
      <c r="N70" s="142">
        <v>0.4274</v>
      </c>
      <c r="O70" s="142">
        <v>0.4415</v>
      </c>
      <c r="P70" s="198">
        <v>0.4541</v>
      </c>
    </row>
    <row r="71" spans="2:16" x14ac:dyDescent="0.3">
      <c r="B71" t="s">
        <v>93</v>
      </c>
      <c r="C71" s="61">
        <v>0.30809999999999998</v>
      </c>
      <c r="D71" s="62">
        <f t="shared" si="0"/>
        <v>0.30809999999999998</v>
      </c>
      <c r="E71" s="63">
        <f t="shared" si="1"/>
        <v>1.3081</v>
      </c>
      <c r="N71" s="142">
        <v>0.2828</v>
      </c>
      <c r="O71" s="142">
        <v>0.29570000000000002</v>
      </c>
      <c r="P71" s="198">
        <v>0.30809999999999998</v>
      </c>
    </row>
    <row r="72" spans="2:16" x14ac:dyDescent="0.3">
      <c r="B72" t="s">
        <v>94</v>
      </c>
      <c r="C72" s="61">
        <v>0.1963</v>
      </c>
      <c r="D72" s="62">
        <f t="shared" si="0"/>
        <v>0.1963</v>
      </c>
      <c r="E72" s="63">
        <f t="shared" si="1"/>
        <v>1.1962999999999999</v>
      </c>
      <c r="N72" s="142">
        <v>0.1835</v>
      </c>
      <c r="O72" s="142">
        <v>0.191</v>
      </c>
      <c r="P72" s="198">
        <v>0.1963</v>
      </c>
    </row>
    <row r="73" spans="2:16" x14ac:dyDescent="0.3">
      <c r="B73" t="s">
        <v>95</v>
      </c>
      <c r="C73" s="61">
        <v>0.18920000000000001</v>
      </c>
      <c r="D73" s="62">
        <f t="shared" si="0"/>
        <v>0.18920000000000001</v>
      </c>
      <c r="E73" s="63">
        <f t="shared" si="1"/>
        <v>1.1892</v>
      </c>
      <c r="N73" s="142">
        <v>0.1777</v>
      </c>
      <c r="O73" s="142">
        <v>0.184</v>
      </c>
      <c r="P73" s="198">
        <v>0.18920000000000001</v>
      </c>
    </row>
    <row r="74" spans="2:16" x14ac:dyDescent="0.3">
      <c r="B74" t="s">
        <v>96</v>
      </c>
      <c r="C74" s="61">
        <v>0.18459999999999999</v>
      </c>
      <c r="D74" s="62">
        <f t="shared" si="0"/>
        <v>0.18459999999999999</v>
      </c>
      <c r="E74" s="63">
        <f t="shared" si="1"/>
        <v>1.1846000000000001</v>
      </c>
      <c r="N74" s="142">
        <v>0.17180000000000001</v>
      </c>
      <c r="O74" s="142">
        <v>0.1794</v>
      </c>
      <c r="P74" s="198">
        <v>0.18459999999999999</v>
      </c>
    </row>
    <row r="75" spans="2:16" x14ac:dyDescent="0.3">
      <c r="B75" t="s">
        <v>97</v>
      </c>
      <c r="C75" s="61">
        <v>0.33260000000000001</v>
      </c>
      <c r="D75" s="62">
        <f t="shared" si="0"/>
        <v>0.33260000000000001</v>
      </c>
      <c r="E75" s="63">
        <f t="shared" si="1"/>
        <v>1.3326</v>
      </c>
      <c r="N75" s="142">
        <v>0.31530000000000002</v>
      </c>
      <c r="O75" s="142">
        <v>0.32490000000000002</v>
      </c>
      <c r="P75" s="198">
        <v>0.33260000000000001</v>
      </c>
    </row>
    <row r="76" spans="2:16" x14ac:dyDescent="0.3">
      <c r="B76" t="s">
        <v>100</v>
      </c>
      <c r="C76" s="61">
        <v>0.16819999999999999</v>
      </c>
      <c r="D76" s="62">
        <f t="shared" si="0"/>
        <v>0.16819999999999999</v>
      </c>
      <c r="E76" s="63">
        <f t="shared" si="1"/>
        <v>1.1681999999999999</v>
      </c>
      <c r="N76" s="142">
        <v>0.16200000000000001</v>
      </c>
      <c r="O76" s="142">
        <v>0.16500000000000001</v>
      </c>
      <c r="P76" s="198">
        <v>0.16819999999999999</v>
      </c>
    </row>
    <row r="77" spans="2:16" x14ac:dyDescent="0.3">
      <c r="B77" t="s">
        <v>98</v>
      </c>
      <c r="C77" s="61">
        <v>0.3196</v>
      </c>
      <c r="D77" s="62">
        <f t="shared" si="0"/>
        <v>0.3196</v>
      </c>
      <c r="E77" s="63">
        <f t="shared" si="1"/>
        <v>1.3195999999999999</v>
      </c>
      <c r="N77" s="142">
        <v>0.30420000000000003</v>
      </c>
      <c r="O77" s="142">
        <v>0.31319999999999998</v>
      </c>
      <c r="P77" s="198">
        <v>0.3196</v>
      </c>
    </row>
    <row r="78" spans="2:16" x14ac:dyDescent="0.3">
      <c r="B78" t="s">
        <v>99</v>
      </c>
      <c r="C78" s="61">
        <v>0.21790000000000001</v>
      </c>
      <c r="D78" s="62">
        <f t="shared" si="0"/>
        <v>0.21790000000000001</v>
      </c>
      <c r="E78" s="63">
        <f t="shared" si="1"/>
        <v>1.2179</v>
      </c>
      <c r="N78" s="142">
        <v>0.20399999999999999</v>
      </c>
      <c r="O78" s="142">
        <v>0.2117</v>
      </c>
      <c r="P78" s="198">
        <v>0.21790000000000001</v>
      </c>
    </row>
  </sheetData>
  <sheetProtection algorithmName="SHA-512" hashValue="oDXl9c3p/5VnJwqSsGyVRZvhObPGpcrq95iJmocbdmduSa67STZ874qtBQ9MhCk/8eB35knm3/2iWxf0iL2rpw==" saltValue="M1Uic/t0cCN/VgeU/vt52w==" spinCount="100000" sheet="1" objects="1" scenarios="1"/>
  <phoneticPr fontId="13" type="noConversion"/>
  <dataValidations disablePrompts="1" count="1">
    <dataValidation type="list" allowBlank="1" showInputMessage="1" showErrorMessage="1" sqref="I30" xr:uid="{EDB20558-7D5C-4249-8D89-CFA8FCA121E8}">
      <formula1>$B$24:$B$78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IHC Program</vt:lpstr>
      <vt:lpstr>Drop Downs</vt:lpstr>
      <vt:lpstr>'IHC Program'!Print_Area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Mitchell, Judy A</dc:creator>
  <cp:keywords/>
  <dc:description/>
  <cp:lastModifiedBy>Grayshield, Adrian J</cp:lastModifiedBy>
  <cp:lastPrinted>2018-12-03T18:45:40Z</cp:lastPrinted>
  <dcterms:created xsi:type="dcterms:W3CDTF">2002-11-14T18:47:55Z</dcterms:created>
  <dcterms:modified xsi:type="dcterms:W3CDTF">2024-01-18T03:40:30Z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LCID">
    <vt:i4>1033</vt:i4>
  </property>
  <property fmtid="{D5CDD505-2E9C-101B-9397-08002B2CF9AE}" pid="3" name="_Version">
    <vt:lpwstr>0908</vt:lpwstr>
  </property>
</Properties>
</file>