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comments33.xml" ContentType="application/vnd.openxmlformats-officedocument.spreadsheetml.comments+xml"/>
  <Override PartName="/xl/threadedComments/threadedComment33.xml" ContentType="application/vnd.ms-excel.threadedcomments+xml"/>
  <Override PartName="/xl/comments34.xml" ContentType="application/vnd.openxmlformats-officedocument.spreadsheetml.comments+xml"/>
  <Override PartName="/xl/threadedComments/threadedComment34.xml" ContentType="application/vnd.ms-excel.threadedcomments+xml"/>
  <Override PartName="/xl/comments35.xml" ContentType="application/vnd.openxmlformats-officedocument.spreadsheetml.comments+xml"/>
  <Override PartName="/xl/threadedComments/threadedComment3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oimspp.sharepoint.com/sites/opmb-FS-OWF/Shared Documents/OWF-O_Drive/#New Hierarchy/Mission/Budget/FY2024/Budget Execution/doi.spreadsheet/"/>
    </mc:Choice>
  </mc:AlternateContent>
  <xr:revisionPtr revIDLastSave="325" documentId="8_{7BD8A3AB-0BE3-4B8A-B69C-E2ADE9F1A3A0}" xr6:coauthVersionLast="47" xr6:coauthVersionMax="47" xr10:uidLastSave="{4B521B26-480D-4A22-91B3-5AD81EA02E14}"/>
  <bookViews>
    <workbookView xWindow="940" yWindow="40" windowWidth="17750" windowHeight="10070" firstSheet="1" activeTab="2" xr2:uid="{00000000-000D-0000-FFFF-FFFF00000000}"/>
  </bookViews>
  <sheets>
    <sheet name="Prep%Fuelspercentage.direct" sheetId="3" r:id="rId1"/>
    <sheet name="Chng Log" sheetId="12" r:id="rId2"/>
    <sheet name="Summary" sheetId="1" r:id="rId3"/>
    <sheet name="DOI Prog&amp;SLA Summary" sheetId="2" r:id="rId4"/>
    <sheet name="IT (WFIT) Project Summary" sheetId="104" r:id="rId5"/>
    <sheet name="Aviation Assets~Prep" sheetId="45" r:id="rId6"/>
    <sheet name="Aviation Assets~Supp" sheetId="129" r:id="rId7"/>
    <sheet name="Collaborative Imp" sheetId="9" r:id="rId8"/>
    <sheet name="DOI prep agrmnts" sheetId="4" r:id="rId9"/>
    <sheet name="LLC Support" sheetId="31" r:id="rId10"/>
    <sheet name="Lightning Det." sheetId="44" r:id="rId11"/>
    <sheet name="Med Standards Ops" sheetId="36" r:id="rId12"/>
    <sheet name="Physical &amp; Mental Health Ops" sheetId="128" r:id="rId13"/>
    <sheet name="WFMRD&amp;A" sheetId="109" r:id="rId14"/>
    <sheet name="DOI Fuels Agrmnts" sheetId="18" r:id="rId15"/>
    <sheet name="SageSTEP" sheetId="16" r:id="rId16"/>
    <sheet name="Smoke Postions" sheetId="130" r:id="rId17"/>
    <sheet name="BAR Program" sheetId="38" r:id="rId18"/>
    <sheet name="BAR Program ~ BIL" sheetId="127" r:id="rId19"/>
    <sheet name="CPC" sheetId="25" r:id="rId20"/>
    <sheet name="FIRES" sheetId="28" r:id="rId21"/>
    <sheet name="Med Standards Exams" sheetId="37" r:id="rId22"/>
    <sheet name="Misc and one-time - Prep" sheetId="21" r:id="rId23"/>
    <sheet name="Misc and one-time - Fuels" sheetId="120" r:id="rId24"/>
    <sheet name="NIFC Site &amp; Admin" sheetId="22" r:id="rId25"/>
    <sheet name="NWCG Staff" sheetId="40" r:id="rId26"/>
    <sheet name="NWCG Prep Projects" sheetId="39" r:id="rId27"/>
    <sheet name="RSFWSU (RAWS) SLA" sheetId="26" r:id="rId28"/>
    <sheet name="FireNET.Licensing" sheetId="121" r:id="rId29"/>
    <sheet name="Facilities Plan" sheetId="58" r:id="rId30"/>
    <sheet name="Active Lands PoC" sheetId="122" r:id="rId31"/>
    <sheet name="AGOL Collector" sheetId="54" r:id="rId32"/>
    <sheet name="CAD" sheetId="55" r:id="rId33"/>
    <sheet name="CROS" sheetId="52" r:id="rId34"/>
    <sheet name="FEIS" sheetId="34" r:id="rId35"/>
    <sheet name="FFI" sheetId="32" r:id="rId36"/>
    <sheet name="FireCode" sheetId="15" r:id="rId37"/>
    <sheet name="FIRENET" sheetId="59" r:id="rId38"/>
    <sheet name="FxNET-AWIPSII" sheetId="29" r:id="rId39"/>
    <sheet name="IFTDSS" sheetId="43" r:id="rId40"/>
    <sheet name="INFORM" sheetId="74" r:id="rId41"/>
    <sheet name="IQCS" sheetId="14" r:id="rId42"/>
    <sheet name="IrWIN" sheetId="6" r:id="rId43"/>
    <sheet name="LANDFIRE" sheetId="10" r:id="rId44"/>
    <sheet name="MTBS" sheetId="33" r:id="rId45"/>
    <sheet name="NFPORS" sheetId="11" r:id="rId46"/>
    <sheet name="SAFENET" sheetId="17" r:id="rId47"/>
    <sheet name="WFDSS" sheetId="7" r:id="rId48"/>
    <sheet name="WFIT Data Management" sheetId="125" r:id="rId49"/>
    <sheet name="WFIT Staff" sheetId="48" r:id="rId50"/>
    <sheet name="WFMI-Fire Reporting" sheetId="27" r:id="rId51"/>
    <sheet name="WFMI-Unit ID" sheetId="117" r:id="rId52"/>
    <sheet name="WFMI-Weather" sheetId="116" r:id="rId53"/>
    <sheet name="WPSAPS" sheetId="126" r:id="rId54"/>
  </sheets>
  <definedNames>
    <definedName name="j" localSheetId="31">#REF!</definedName>
    <definedName name="j" localSheetId="5">#REF!</definedName>
    <definedName name="j" localSheetId="32">#REF!</definedName>
    <definedName name="j" localSheetId="33">#REF!</definedName>
    <definedName name="j" localSheetId="34">#REF!</definedName>
    <definedName name="j" localSheetId="10">#REF!</definedName>
    <definedName name="j" localSheetId="21">#REF!</definedName>
    <definedName name="j" localSheetId="11">#REF!</definedName>
    <definedName name="j" localSheetId="26">#REF!</definedName>
    <definedName name="j" localSheetId="25">#REF!</definedName>
    <definedName name="j" localSheetId="49">#REF!</definedName>
    <definedName name="j">#REF!</definedName>
    <definedName name="k" localSheetId="31">#REF!</definedName>
    <definedName name="k" localSheetId="5">#REF!</definedName>
    <definedName name="k" localSheetId="32">#REF!</definedName>
    <definedName name="k" localSheetId="33">#REF!</definedName>
    <definedName name="k" localSheetId="34">#REF!</definedName>
    <definedName name="k" localSheetId="10">#REF!</definedName>
    <definedName name="k" localSheetId="21">#REF!</definedName>
    <definedName name="k" localSheetId="11">#REF!</definedName>
    <definedName name="k" localSheetId="26">#REF!</definedName>
    <definedName name="k" localSheetId="25">#REF!</definedName>
    <definedName name="k" localSheetId="49">#REF!</definedName>
    <definedName name="k">#REF!</definedName>
    <definedName name="m" localSheetId="31">#REF!</definedName>
    <definedName name="m" localSheetId="5">#REF!</definedName>
    <definedName name="m" localSheetId="32">#REF!</definedName>
    <definedName name="m" localSheetId="33">#REF!</definedName>
    <definedName name="m" localSheetId="34">#REF!</definedName>
    <definedName name="m" localSheetId="10">#REF!</definedName>
    <definedName name="m" localSheetId="21">#REF!</definedName>
    <definedName name="m" localSheetId="11">#REF!</definedName>
    <definedName name="m" localSheetId="26">#REF!</definedName>
    <definedName name="m" localSheetId="25">#REF!</definedName>
    <definedName name="m" localSheetId="49">#REF!</definedName>
    <definedName name="m">#REF!</definedName>
    <definedName name="Note_1" localSheetId="31">#REF!</definedName>
    <definedName name="Note_1" localSheetId="5">#REF!</definedName>
    <definedName name="Note_1" localSheetId="32">#REF!</definedName>
    <definedName name="Note_1" localSheetId="33">#REF!</definedName>
    <definedName name="Note_1" localSheetId="34">#REF!</definedName>
    <definedName name="Note_1" localSheetId="10">#REF!</definedName>
    <definedName name="Note_1" localSheetId="21">#REF!</definedName>
    <definedName name="Note_1" localSheetId="11">#REF!</definedName>
    <definedName name="Note_1" localSheetId="22">#REF!</definedName>
    <definedName name="Note_1" localSheetId="26">#REF!</definedName>
    <definedName name="Note_1" localSheetId="25">#REF!</definedName>
    <definedName name="Note_1" localSheetId="49">#REF!</definedName>
    <definedName name="Note_1">#REF!</definedName>
    <definedName name="Note_2" localSheetId="31">#REF!</definedName>
    <definedName name="Note_2" localSheetId="5">#REF!</definedName>
    <definedName name="Note_2" localSheetId="32">#REF!</definedName>
    <definedName name="Note_2" localSheetId="33">#REF!</definedName>
    <definedName name="Note_2" localSheetId="34">#REF!</definedName>
    <definedName name="Note_2" localSheetId="10">#REF!</definedName>
    <definedName name="Note_2" localSheetId="21">#REF!</definedName>
    <definedName name="Note_2" localSheetId="11">#REF!</definedName>
    <definedName name="Note_2" localSheetId="22">#REF!</definedName>
    <definedName name="Note_2" localSheetId="26">#REF!</definedName>
    <definedName name="Note_2" localSheetId="25">#REF!</definedName>
    <definedName name="Note_2" localSheetId="49">#REF!</definedName>
    <definedName name="Note_2">#REF!</definedName>
    <definedName name="Note_3" localSheetId="31">#REF!</definedName>
    <definedName name="Note_3" localSheetId="5">#REF!</definedName>
    <definedName name="Note_3" localSheetId="32">#REF!</definedName>
    <definedName name="Note_3" localSheetId="33">#REF!</definedName>
    <definedName name="Note_3" localSheetId="34">#REF!</definedName>
    <definedName name="Note_3" localSheetId="10">#REF!</definedName>
    <definedName name="Note_3" localSheetId="21">#REF!</definedName>
    <definedName name="Note_3" localSheetId="11">#REF!</definedName>
    <definedName name="Note_3" localSheetId="22">#REF!</definedName>
    <definedName name="Note_3" localSheetId="26">#REF!</definedName>
    <definedName name="Note_3" localSheetId="25">#REF!</definedName>
    <definedName name="Note_3" localSheetId="49">#REF!</definedName>
    <definedName name="Note_3">#REF!</definedName>
    <definedName name="Note_4" localSheetId="31">#REF!</definedName>
    <definedName name="Note_4" localSheetId="5">#REF!</definedName>
    <definedName name="Note_4" localSheetId="32">#REF!</definedName>
    <definedName name="Note_4" localSheetId="33">#REF!</definedName>
    <definedName name="Note_4" localSheetId="34">#REF!</definedName>
    <definedName name="Note_4" localSheetId="10">#REF!</definedName>
    <definedName name="Note_4" localSheetId="21">#REF!</definedName>
    <definedName name="Note_4" localSheetId="11">#REF!</definedName>
    <definedName name="Note_4" localSheetId="22">#REF!</definedName>
    <definedName name="Note_4" localSheetId="26">#REF!</definedName>
    <definedName name="Note_4" localSheetId="25">#REF!</definedName>
    <definedName name="Note_4" localSheetId="49">#REF!</definedName>
    <definedName name="Note_4">#REF!</definedName>
    <definedName name="Note_5" localSheetId="31">#REF!</definedName>
    <definedName name="Note_5" localSheetId="5">#REF!</definedName>
    <definedName name="Note_5" localSheetId="32">#REF!</definedName>
    <definedName name="Note_5" localSheetId="33">#REF!</definedName>
    <definedName name="Note_5" localSheetId="34">#REF!</definedName>
    <definedName name="Note_5" localSheetId="10">#REF!</definedName>
    <definedName name="Note_5" localSheetId="21">#REF!</definedName>
    <definedName name="Note_5" localSheetId="11">#REF!</definedName>
    <definedName name="Note_5" localSheetId="22">#REF!</definedName>
    <definedName name="Note_5" localSheetId="26">#REF!</definedName>
    <definedName name="Note_5" localSheetId="25">#REF!</definedName>
    <definedName name="Note_5" localSheetId="49">#REF!</definedName>
    <definedName name="Note_5">#REF!</definedName>
    <definedName name="Note_6" localSheetId="31">#REF!</definedName>
    <definedName name="Note_6" localSheetId="5">#REF!</definedName>
    <definedName name="Note_6" localSheetId="32">#REF!</definedName>
    <definedName name="Note_6" localSheetId="33">#REF!</definedName>
    <definedName name="Note_6" localSheetId="34">#REF!</definedName>
    <definedName name="Note_6" localSheetId="10">#REF!</definedName>
    <definedName name="Note_6" localSheetId="21">#REF!</definedName>
    <definedName name="Note_6" localSheetId="11">#REF!</definedName>
    <definedName name="Note_6" localSheetId="22">#REF!</definedName>
    <definedName name="Note_6" localSheetId="26">#REF!</definedName>
    <definedName name="Note_6" localSheetId="25">#REF!</definedName>
    <definedName name="Note_6" localSheetId="49">#REF!</definedName>
    <definedName name="Note_6">#REF!</definedName>
    <definedName name="Note_7" localSheetId="31">#REF!</definedName>
    <definedName name="Note_7" localSheetId="5">#REF!</definedName>
    <definedName name="Note_7" localSheetId="32">#REF!</definedName>
    <definedName name="Note_7" localSheetId="33">#REF!</definedName>
    <definedName name="Note_7" localSheetId="34">#REF!</definedName>
    <definedName name="Note_7" localSheetId="10">#REF!</definedName>
    <definedName name="Note_7" localSheetId="21">#REF!</definedName>
    <definedName name="Note_7" localSheetId="11">#REF!</definedName>
    <definedName name="Note_7" localSheetId="22">#REF!</definedName>
    <definedName name="Note_7" localSheetId="26">#REF!</definedName>
    <definedName name="Note_7" localSheetId="25">#REF!</definedName>
    <definedName name="Note_7" localSheetId="49">#REF!</definedName>
    <definedName name="Note_7">#REF!</definedName>
    <definedName name="Note_8" localSheetId="31">#REF!</definedName>
    <definedName name="Note_8" localSheetId="5">#REF!</definedName>
    <definedName name="Note_8" localSheetId="32">#REF!</definedName>
    <definedName name="Note_8" localSheetId="33">#REF!</definedName>
    <definedName name="Note_8" localSheetId="34">#REF!</definedName>
    <definedName name="Note_8" localSheetId="10">#REF!</definedName>
    <definedName name="Note_8" localSheetId="21">#REF!</definedName>
    <definedName name="Note_8" localSheetId="11">#REF!</definedName>
    <definedName name="Note_8" localSheetId="22">#REF!</definedName>
    <definedName name="Note_8" localSheetId="26">#REF!</definedName>
    <definedName name="Note_8" localSheetId="25">#REF!</definedName>
    <definedName name="Note_8" localSheetId="49">#REF!</definedName>
    <definedName name="Note_8">#REF!</definedName>
    <definedName name="Note_9" localSheetId="31">#REF!</definedName>
    <definedName name="Note_9" localSheetId="5">#REF!</definedName>
    <definedName name="Note_9" localSheetId="32">#REF!</definedName>
    <definedName name="Note_9" localSheetId="33">#REF!</definedName>
    <definedName name="Note_9" localSheetId="34">#REF!</definedName>
    <definedName name="Note_9" localSheetId="10">#REF!</definedName>
    <definedName name="Note_9" localSheetId="21">#REF!</definedName>
    <definedName name="Note_9" localSheetId="11">#REF!</definedName>
    <definedName name="Note_9" localSheetId="22">#REF!</definedName>
    <definedName name="Note_9" localSheetId="26">#REF!</definedName>
    <definedName name="Note_9" localSheetId="25">#REF!</definedName>
    <definedName name="Note_9" localSheetId="49">#REF!</definedName>
    <definedName name="Note_9">#REF!</definedName>
    <definedName name="_xlnm.Print_Area" localSheetId="5">'Aviation Assets~Prep'!$A$1:$O$47</definedName>
    <definedName name="_xlnm.Print_Area" localSheetId="7">'Collaborative Imp'!$A$1:$N$37</definedName>
    <definedName name="_xlnm.Print_Area" localSheetId="3">'DOI Prog&amp;SLA Summary'!$A$1:$L$70</definedName>
    <definedName name="_xlnm.Print_Area" localSheetId="4">'IT (WFIT) Project Summary'!$A$1:$L$49</definedName>
    <definedName name="_xlnm.Print_Area" localSheetId="2">Summary!$A$1:$J$244</definedName>
    <definedName name="_xlnm.Print_Titles" localSheetId="14">'DOI Fuels Agrmnts'!$2:$5</definedName>
    <definedName name="_xlnm.Print_Titles" localSheetId="8">'DOI prep agrmnts'!$2:$5</definedName>
    <definedName name="_xlnm.Print_Titles" localSheetId="3">'DOI Prog&amp;SLA Summary'!$1:$1</definedName>
    <definedName name="_xlnm.Print_Titles" localSheetId="39">IFTDSS!$2:$5</definedName>
    <definedName name="_xlnm.Print_Titles" localSheetId="42">IrWIN!$2:$5</definedName>
    <definedName name="_xlnm.Print_Titles" localSheetId="43">LANDFIRE!$2:$5</definedName>
    <definedName name="_xlnm.Print_Titles" localSheetId="45">NFPORS!$2:$5</definedName>
    <definedName name="_xlnm.Print_Titles" localSheetId="25">'NWCG Staff'!$2:$5</definedName>
    <definedName name="_xlnm.Print_Titles" localSheetId="0">'Prep%Fuelspercentage.direct'!$42:$42</definedName>
    <definedName name="_xlnm.Print_Titles" localSheetId="2">Summary!$1:$1</definedName>
    <definedName name="q" localSheetId="31">#REF!</definedName>
    <definedName name="q" localSheetId="5">#REF!</definedName>
    <definedName name="q" localSheetId="32">#REF!</definedName>
    <definedName name="q" localSheetId="33">#REF!</definedName>
    <definedName name="q" localSheetId="34">#REF!</definedName>
    <definedName name="q" localSheetId="10">#REF!</definedName>
    <definedName name="q" localSheetId="21">#REF!</definedName>
    <definedName name="q" localSheetId="11">#REF!</definedName>
    <definedName name="q" localSheetId="26">#REF!</definedName>
    <definedName name="q" localSheetId="25">#REF!</definedName>
    <definedName name="q" localSheetId="49">#REF!</definedName>
    <definedName name="q">#REF!</definedName>
    <definedName name="t" localSheetId="31">#REF!</definedName>
    <definedName name="t" localSheetId="5">#REF!</definedName>
    <definedName name="t" localSheetId="32">#REF!</definedName>
    <definedName name="t" localSheetId="33">#REF!</definedName>
    <definedName name="t" localSheetId="34">#REF!</definedName>
    <definedName name="t" localSheetId="10">#REF!</definedName>
    <definedName name="t" localSheetId="21">#REF!</definedName>
    <definedName name="t" localSheetId="11">#REF!</definedName>
    <definedName name="t" localSheetId="26">#REF!</definedName>
    <definedName name="t" localSheetId="25">#REF!</definedName>
    <definedName name="t" localSheetId="49">#REF!</definedName>
    <definedName name="t">#REF!</definedName>
    <definedName name="u" localSheetId="31">#REF!</definedName>
    <definedName name="u" localSheetId="5">#REF!</definedName>
    <definedName name="u" localSheetId="32">#REF!</definedName>
    <definedName name="u" localSheetId="33">#REF!</definedName>
    <definedName name="u" localSheetId="34">#REF!</definedName>
    <definedName name="u" localSheetId="10">#REF!</definedName>
    <definedName name="u" localSheetId="21">#REF!</definedName>
    <definedName name="u" localSheetId="11">#REF!</definedName>
    <definedName name="u" localSheetId="26">#REF!</definedName>
    <definedName name="u" localSheetId="25">#REF!</definedName>
    <definedName name="u" localSheetId="49">#REF!</definedName>
    <definedName name="u">#REF!</definedName>
    <definedName name="w" localSheetId="31">#REF!</definedName>
    <definedName name="w" localSheetId="5">#REF!</definedName>
    <definedName name="w" localSheetId="32">#REF!</definedName>
    <definedName name="w" localSheetId="33">#REF!</definedName>
    <definedName name="w" localSheetId="34">#REF!</definedName>
    <definedName name="w" localSheetId="10">#REF!</definedName>
    <definedName name="w" localSheetId="21">#REF!</definedName>
    <definedName name="w" localSheetId="11">#REF!</definedName>
    <definedName name="w" localSheetId="26">#REF!</definedName>
    <definedName name="w" localSheetId="25">#REF!</definedName>
    <definedName name="w" localSheetId="49">#REF!</definedName>
    <definedName nam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6" i="1" l="1"/>
  <c r="C280" i="1"/>
  <c r="C275" i="1" l="1"/>
  <c r="C260" i="1"/>
  <c r="I46" i="1" l="1"/>
  <c r="G46" i="1"/>
  <c r="G47" i="1"/>
  <c r="E284" i="1"/>
  <c r="D284" i="1"/>
  <c r="I236" i="1"/>
  <c r="H236" i="1"/>
  <c r="G236" i="1"/>
  <c r="F236" i="1"/>
  <c r="E236" i="1"/>
  <c r="D236" i="1"/>
  <c r="C236" i="1"/>
  <c r="I235" i="1"/>
  <c r="H235" i="1"/>
  <c r="F235" i="1"/>
  <c r="F244" i="1" s="1"/>
  <c r="E235" i="1"/>
  <c r="E244" i="1" s="1"/>
  <c r="D235" i="1"/>
  <c r="D244" i="1" s="1"/>
  <c r="G235" i="1" l="1"/>
  <c r="G244" i="1" s="1"/>
  <c r="M41" i="128"/>
  <c r="F20" i="40"/>
  <c r="F43" i="40" l="1"/>
  <c r="F42" i="40"/>
  <c r="F41" i="40"/>
  <c r="F40" i="40"/>
  <c r="F39" i="40"/>
  <c r="F38" i="40"/>
  <c r="F37" i="40"/>
  <c r="F36" i="40"/>
  <c r="F35" i="40"/>
  <c r="F34" i="40"/>
  <c r="F33" i="40"/>
  <c r="F32" i="40"/>
  <c r="F31" i="40"/>
  <c r="F30" i="40"/>
  <c r="F29" i="40"/>
  <c r="F28" i="40"/>
  <c r="F27" i="40"/>
  <c r="F26" i="40"/>
  <c r="F25" i="40"/>
  <c r="F24" i="40"/>
  <c r="F23" i="40"/>
  <c r="F22" i="40"/>
  <c r="F21" i="40"/>
  <c r="F19" i="40"/>
  <c r="F18" i="40"/>
  <c r="F17" i="40"/>
  <c r="F16" i="40"/>
  <c r="F15" i="40"/>
  <c r="F14" i="40"/>
  <c r="F13" i="40"/>
  <c r="F12" i="40"/>
  <c r="F11" i="40"/>
  <c r="F10" i="40"/>
  <c r="F9" i="40"/>
  <c r="F8" i="40"/>
  <c r="F17" i="48" l="1"/>
  <c r="K10" i="48"/>
  <c r="K72" i="28" l="1"/>
  <c r="J72" i="28"/>
  <c r="I72" i="28"/>
  <c r="H72" i="28"/>
  <c r="G72" i="28"/>
  <c r="K62" i="28"/>
  <c r="J46" i="31" l="1"/>
  <c r="J45" i="31" l="1"/>
  <c r="G10" i="1"/>
  <c r="F10" i="1"/>
  <c r="E10" i="1"/>
  <c r="D10" i="1"/>
  <c r="H89" i="1" l="1"/>
  <c r="H17" i="1"/>
  <c r="K43" i="48"/>
  <c r="J48" i="74"/>
  <c r="D44" i="43"/>
  <c r="F17" i="18" l="1"/>
  <c r="L34" i="125"/>
  <c r="L35" i="125"/>
  <c r="J91" i="1" l="1"/>
  <c r="J49" i="74"/>
  <c r="L44" i="74"/>
  <c r="I282" i="1" l="1"/>
  <c r="C120" i="1" l="1"/>
  <c r="I281" i="1"/>
  <c r="J281" i="1" s="1"/>
  <c r="I268" i="1"/>
  <c r="J268" i="1" s="1"/>
  <c r="H146" i="1"/>
  <c r="H231" i="1" s="1"/>
  <c r="F146" i="1"/>
  <c r="E146" i="1"/>
  <c r="D146" i="1"/>
  <c r="F35" i="55" l="1"/>
  <c r="F34" i="55"/>
  <c r="F33" i="55"/>
  <c r="F32" i="55"/>
  <c r="E59" i="45"/>
  <c r="K42" i="6"/>
  <c r="K39" i="59"/>
  <c r="K42" i="55"/>
  <c r="J41" i="54"/>
  <c r="L34" i="18"/>
  <c r="J38" i="109"/>
  <c r="K32" i="36"/>
  <c r="I45" i="31"/>
  <c r="K35" i="4"/>
  <c r="F33" i="54" l="1"/>
  <c r="L30" i="2" l="1"/>
  <c r="K30" i="2"/>
  <c r="J30" i="2"/>
  <c r="I30" i="2"/>
  <c r="H30" i="2"/>
  <c r="G30" i="2"/>
  <c r="F30" i="2"/>
  <c r="E30" i="2"/>
  <c r="D30" i="2"/>
  <c r="C30" i="2"/>
  <c r="F31" i="130"/>
  <c r="F30" i="130"/>
  <c r="F29" i="130"/>
  <c r="F28" i="130"/>
  <c r="F27" i="130"/>
  <c r="F32" i="130" s="1"/>
  <c r="F26" i="130"/>
  <c r="F25" i="130"/>
  <c r="F24" i="130"/>
  <c r="F23" i="130"/>
  <c r="F22" i="130"/>
  <c r="F21" i="130"/>
  <c r="F18" i="130"/>
  <c r="F17" i="130"/>
  <c r="F16" i="130"/>
  <c r="F15" i="130"/>
  <c r="F19" i="130" s="1"/>
  <c r="F12" i="130"/>
  <c r="F11" i="130"/>
  <c r="F10" i="130"/>
  <c r="F9" i="130"/>
  <c r="F8" i="130"/>
  <c r="F7" i="130"/>
  <c r="F13" i="130" s="1"/>
  <c r="M32" i="130"/>
  <c r="M34" i="130" s="1"/>
  <c r="K32" i="130"/>
  <c r="K34" i="130" s="1"/>
  <c r="I32" i="130"/>
  <c r="I34" i="130" s="1"/>
  <c r="H32" i="130"/>
  <c r="H34" i="130" s="1"/>
  <c r="G32" i="130"/>
  <c r="E32" i="130"/>
  <c r="E34" i="130" s="1"/>
  <c r="B41" i="130" s="1"/>
  <c r="J31" i="130"/>
  <c r="J30" i="130"/>
  <c r="L26" i="130"/>
  <c r="L32" i="130" s="1"/>
  <c r="J21" i="130"/>
  <c r="J32" i="130" s="1"/>
  <c r="J34" i="130" s="1"/>
  <c r="M19" i="130"/>
  <c r="L19" i="130"/>
  <c r="K19" i="130"/>
  <c r="J19" i="130"/>
  <c r="I19" i="130"/>
  <c r="H19" i="130"/>
  <c r="G19" i="130"/>
  <c r="E19" i="130"/>
  <c r="D19" i="130"/>
  <c r="M13" i="130"/>
  <c r="K13" i="130"/>
  <c r="J13" i="130"/>
  <c r="I13" i="130"/>
  <c r="H13" i="130"/>
  <c r="G13" i="130"/>
  <c r="G34" i="130" s="1"/>
  <c r="E13" i="130"/>
  <c r="D13" i="130"/>
  <c r="L10" i="130"/>
  <c r="L13" i="130" s="1"/>
  <c r="F34" i="130" l="1"/>
  <c r="B42" i="130" s="1"/>
  <c r="B43" i="130" s="1"/>
  <c r="B44" i="130" s="1"/>
  <c r="D34" i="130"/>
  <c r="L34" i="130"/>
  <c r="I40" i="1" l="1"/>
  <c r="J40" i="1" s="1"/>
  <c r="G38" i="1"/>
  <c r="F38" i="1"/>
  <c r="G23" i="2"/>
  <c r="F23" i="2"/>
  <c r="J21" i="2"/>
  <c r="J22" i="2" s="1"/>
  <c r="J23" i="2" s="1"/>
  <c r="I21" i="2"/>
  <c r="I22" i="2" s="1"/>
  <c r="H21" i="2"/>
  <c r="H22" i="2" s="1"/>
  <c r="H23" i="2" s="1"/>
  <c r="G21" i="2"/>
  <c r="G22" i="2" s="1"/>
  <c r="F21" i="2"/>
  <c r="F22" i="2" s="1"/>
  <c r="E38" i="1" s="1"/>
  <c r="E21" i="2"/>
  <c r="E22" i="2" s="1"/>
  <c r="D38" i="1" s="1"/>
  <c r="D21" i="2"/>
  <c r="D22" i="2" s="1"/>
  <c r="C38" i="1" s="1"/>
  <c r="C22" i="2"/>
  <c r="I23" i="2" l="1"/>
  <c r="H38" i="1"/>
  <c r="I38" i="1"/>
  <c r="E23" i="2"/>
  <c r="K23" i="2" s="1"/>
  <c r="K21" i="2"/>
  <c r="I12" i="1"/>
  <c r="J12" i="1" s="1"/>
  <c r="G27" i="45"/>
  <c r="G37" i="45"/>
  <c r="C46" i="1"/>
  <c r="C131" i="1"/>
  <c r="H131" i="1"/>
  <c r="D131" i="1"/>
  <c r="E131" i="1"/>
  <c r="G131" i="1"/>
  <c r="I278" i="1"/>
  <c r="H44" i="1" l="1"/>
  <c r="H58" i="1" s="1"/>
  <c r="L21" i="2"/>
  <c r="L22" i="2" s="1"/>
  <c r="K22" i="2"/>
  <c r="J24" i="109"/>
  <c r="L10" i="109"/>
  <c r="J121" i="1"/>
  <c r="J124" i="1"/>
  <c r="P36" i="2"/>
  <c r="G186" i="1"/>
  <c r="F186" i="1"/>
  <c r="E186" i="1"/>
  <c r="I20" i="58"/>
  <c r="I19" i="58"/>
  <c r="I18" i="58"/>
  <c r="I17" i="58"/>
  <c r="I16" i="58"/>
  <c r="E19" i="58"/>
  <c r="E17" i="58"/>
  <c r="E18" i="58"/>
  <c r="E185" i="1" l="1"/>
  <c r="F185" i="1"/>
  <c r="G185" i="1"/>
  <c r="B46" i="29"/>
  <c r="J53" i="21" l="1"/>
  <c r="J45" i="38"/>
  <c r="I45" i="38"/>
  <c r="H45" i="38"/>
  <c r="G45" i="38"/>
  <c r="K45" i="125"/>
  <c r="K46" i="125"/>
  <c r="I72" i="1" l="1"/>
  <c r="I71" i="1"/>
  <c r="C221" i="1" l="1"/>
  <c r="C220" i="1"/>
  <c r="H237" i="1"/>
  <c r="G237" i="1"/>
  <c r="F237" i="1"/>
  <c r="E237" i="1"/>
  <c r="D237" i="1"/>
  <c r="C170" i="1" l="1"/>
  <c r="I48" i="1" l="1"/>
  <c r="C212" i="1"/>
  <c r="C191" i="1"/>
  <c r="C97" i="1"/>
  <c r="C71" i="1"/>
  <c r="C24" i="1"/>
  <c r="C237" i="1" s="1"/>
  <c r="C123" i="1"/>
  <c r="I276" i="1" l="1"/>
  <c r="J276" i="1" s="1"/>
  <c r="I57" i="1" l="1"/>
  <c r="I275" i="1"/>
  <c r="I212" i="1"/>
  <c r="I191" i="1"/>
  <c r="I170" i="1"/>
  <c r="I97" i="1"/>
  <c r="I24" i="1"/>
  <c r="I237" i="1" l="1"/>
  <c r="K46" i="129"/>
  <c r="G45" i="129"/>
  <c r="N44" i="129"/>
  <c r="N46" i="129" s="1"/>
  <c r="M44" i="129"/>
  <c r="M46" i="129" s="1"/>
  <c r="L44" i="129"/>
  <c r="K44" i="129"/>
  <c r="J44" i="129"/>
  <c r="J46" i="129" s="1"/>
  <c r="I44" i="129"/>
  <c r="I46" i="129" s="1"/>
  <c r="H44" i="129"/>
  <c r="F44" i="129"/>
  <c r="E44" i="129"/>
  <c r="E46" i="129" s="1"/>
  <c r="B64" i="129" s="1"/>
  <c r="D44" i="129"/>
  <c r="G43" i="129"/>
  <c r="G42" i="129"/>
  <c r="G41" i="129"/>
  <c r="G40" i="129"/>
  <c r="G39" i="129"/>
  <c r="G38" i="129"/>
  <c r="G37" i="129"/>
  <c r="G36" i="129"/>
  <c r="G35" i="129"/>
  <c r="G34" i="129"/>
  <c r="G33" i="129"/>
  <c r="G32" i="129"/>
  <c r="G31" i="129"/>
  <c r="G30" i="129"/>
  <c r="G29" i="129"/>
  <c r="G28" i="129"/>
  <c r="G27" i="129"/>
  <c r="N20" i="129"/>
  <c r="M20" i="129"/>
  <c r="L20" i="129"/>
  <c r="K20" i="129"/>
  <c r="J20" i="129"/>
  <c r="I20" i="129"/>
  <c r="H20" i="129"/>
  <c r="H46" i="129" s="1"/>
  <c r="G20" i="129"/>
  <c r="F20" i="129"/>
  <c r="E20" i="129"/>
  <c r="D20" i="129"/>
  <c r="N13" i="129"/>
  <c r="M13" i="129"/>
  <c r="L13" i="129"/>
  <c r="L46" i="129" s="1"/>
  <c r="K13" i="129"/>
  <c r="J13" i="129"/>
  <c r="I13" i="129"/>
  <c r="H13" i="129"/>
  <c r="F13" i="129"/>
  <c r="E13" i="129"/>
  <c r="D13" i="129"/>
  <c r="G12" i="129"/>
  <c r="G11" i="129"/>
  <c r="G10" i="129"/>
  <c r="G9" i="129"/>
  <c r="G8" i="129"/>
  <c r="G7" i="129"/>
  <c r="G13" i="129" s="1"/>
  <c r="G44" i="129" l="1"/>
  <c r="G46" i="129" s="1"/>
  <c r="B65" i="129" s="1"/>
  <c r="B66" i="129" s="1"/>
  <c r="B67" i="129" s="1"/>
  <c r="J260" i="1"/>
  <c r="C273" i="1"/>
  <c r="J273" i="1"/>
  <c r="C213" i="1"/>
  <c r="C192" i="1"/>
  <c r="C171" i="1"/>
  <c r="C98" i="1"/>
  <c r="C72" i="1"/>
  <c r="C25" i="1"/>
  <c r="C238" i="1" l="1"/>
  <c r="H25" i="1"/>
  <c r="H238" i="1" s="1"/>
  <c r="L12" i="74"/>
  <c r="K44" i="55"/>
  <c r="B49" i="55"/>
  <c r="J10" i="109"/>
  <c r="L19" i="7"/>
  <c r="L9" i="7"/>
  <c r="K26" i="7" l="1"/>
  <c r="B42" i="48" l="1"/>
  <c r="F13" i="48"/>
  <c r="F33" i="10" l="1"/>
  <c r="F38" i="125" l="1"/>
  <c r="K38" i="125"/>
  <c r="K36" i="48"/>
  <c r="L34" i="11" l="1"/>
  <c r="J266" i="1"/>
  <c r="D25" i="1" l="1"/>
  <c r="D238" i="1" s="1"/>
  <c r="G25" i="1"/>
  <c r="G238" i="1" s="1"/>
  <c r="E25" i="1"/>
  <c r="E238" i="1" s="1"/>
  <c r="F25" i="1"/>
  <c r="F238" i="1" s="1"/>
  <c r="I213" i="1" l="1"/>
  <c r="I192" i="1"/>
  <c r="I171" i="1"/>
  <c r="I98" i="1" l="1"/>
  <c r="I238" i="1" s="1"/>
  <c r="I25" i="1"/>
  <c r="L31" i="6" l="1"/>
  <c r="I264" i="1"/>
  <c r="K14" i="128" l="1"/>
  <c r="K21" i="128"/>
  <c r="F11" i="128"/>
  <c r="J263" i="1"/>
  <c r="H58" i="28" l="1"/>
  <c r="F47" i="2" s="1"/>
  <c r="H59" i="28"/>
  <c r="F66" i="2" s="1"/>
  <c r="G59" i="28"/>
  <c r="E66" i="2" s="1"/>
  <c r="G58" i="28"/>
  <c r="E47" i="2" s="1"/>
  <c r="F45" i="120"/>
  <c r="L20" i="120"/>
  <c r="L39" i="128" l="1"/>
  <c r="K14" i="36"/>
  <c r="J40" i="31"/>
  <c r="E13" i="39"/>
  <c r="D172" i="1"/>
  <c r="F172" i="1"/>
  <c r="E172" i="1"/>
  <c r="G172" i="1"/>
  <c r="D6" i="3"/>
  <c r="I172" i="1" l="1"/>
  <c r="J48" i="31"/>
  <c r="I214" i="1"/>
  <c r="I215" i="1"/>
  <c r="I193" i="1"/>
  <c r="I102" i="1" l="1"/>
  <c r="G102" i="1"/>
  <c r="F102" i="1"/>
  <c r="E102" i="1"/>
  <c r="D102" i="1"/>
  <c r="I29" i="1"/>
  <c r="E29" i="1"/>
  <c r="G29" i="1" l="1"/>
  <c r="H29" i="1"/>
  <c r="F29" i="1"/>
  <c r="D29" i="1"/>
  <c r="J258" i="1"/>
  <c r="L44" i="14" l="1"/>
  <c r="L45" i="14"/>
  <c r="J59" i="28"/>
  <c r="H66" i="2" s="1"/>
  <c r="I59" i="28"/>
  <c r="G66" i="2" s="1"/>
  <c r="J58" i="28"/>
  <c r="H47" i="2" s="1"/>
  <c r="I58" i="28"/>
  <c r="G47" i="2" s="1"/>
  <c r="L61" i="28"/>
  <c r="H45" i="28"/>
  <c r="K15" i="6"/>
  <c r="L15" i="6"/>
  <c r="F29" i="59"/>
  <c r="F28" i="59"/>
  <c r="F30" i="55"/>
  <c r="K17" i="55"/>
  <c r="J257" i="1"/>
  <c r="E241" i="1"/>
  <c r="J256" i="1"/>
  <c r="L31" i="74"/>
  <c r="K31" i="74"/>
  <c r="L30" i="74"/>
  <c r="K30" i="74"/>
  <c r="H241" i="1"/>
  <c r="G241" i="1"/>
  <c r="F241" i="1"/>
  <c r="D241" i="1"/>
  <c r="I241" i="1"/>
  <c r="I254" i="1" l="1"/>
  <c r="J261" i="1"/>
  <c r="C241" i="1"/>
  <c r="I120" i="1"/>
  <c r="L49" i="128" l="1"/>
  <c r="M49" i="128"/>
  <c r="F29" i="128"/>
  <c r="F28" i="128"/>
  <c r="F27" i="128"/>
  <c r="F26" i="128"/>
  <c r="F25" i="128"/>
  <c r="F24" i="128"/>
  <c r="F23" i="128"/>
  <c r="F22" i="128"/>
  <c r="F21" i="128"/>
  <c r="F20" i="128"/>
  <c r="F19" i="128"/>
  <c r="F18" i="128"/>
  <c r="F17" i="128"/>
  <c r="F47" i="128"/>
  <c r="F46" i="128"/>
  <c r="F45" i="128"/>
  <c r="F44" i="128"/>
  <c r="F43" i="128"/>
  <c r="F42" i="128"/>
  <c r="G48" i="128"/>
  <c r="G49" i="128" s="1"/>
  <c r="H48" i="128"/>
  <c r="H49" i="128" s="1"/>
  <c r="I48" i="128"/>
  <c r="I49" i="128" s="1"/>
  <c r="J48" i="128"/>
  <c r="J49" i="128" s="1"/>
  <c r="K48" i="128"/>
  <c r="K49" i="128" s="1"/>
  <c r="E49" i="128"/>
  <c r="F50" i="128"/>
  <c r="F40" i="128"/>
  <c r="F39" i="128"/>
  <c r="F38" i="128"/>
  <c r="F37" i="128"/>
  <c r="F36" i="128"/>
  <c r="F35" i="128"/>
  <c r="F34" i="128"/>
  <c r="F33" i="128"/>
  <c r="F14" i="128"/>
  <c r="L13" i="128"/>
  <c r="F13" i="128" s="1"/>
  <c r="F12" i="128"/>
  <c r="F10" i="128"/>
  <c r="F9" i="128"/>
  <c r="F8" i="128"/>
  <c r="F7" i="128"/>
  <c r="F48" i="128" l="1"/>
  <c r="F41" i="128"/>
  <c r="F49" i="128" l="1"/>
  <c r="K14" i="39"/>
  <c r="H14" i="39"/>
  <c r="C88" i="1"/>
  <c r="F14" i="39" l="1"/>
  <c r="E41" i="9" l="1"/>
  <c r="D186" i="1" l="1"/>
  <c r="D185" i="1"/>
  <c r="E34" i="2" l="1"/>
  <c r="C147" i="1"/>
  <c r="C146" i="1"/>
  <c r="C145" i="1"/>
  <c r="C42" i="48"/>
  <c r="F15" i="18" l="1"/>
  <c r="C57" i="128" l="1"/>
  <c r="F34" i="6"/>
  <c r="F32" i="6"/>
  <c r="F7" i="6"/>
  <c r="F9" i="6"/>
  <c r="F12" i="6"/>
  <c r="F11" i="6"/>
  <c r="F11" i="7"/>
  <c r="E46" i="6" l="1"/>
  <c r="F16" i="7" l="1"/>
  <c r="F17" i="7" s="1"/>
  <c r="M17" i="7"/>
  <c r="L17" i="7"/>
  <c r="K17" i="7"/>
  <c r="J17" i="7"/>
  <c r="I17" i="7"/>
  <c r="H17" i="7"/>
  <c r="G17" i="7"/>
  <c r="E17" i="7"/>
  <c r="F9" i="7"/>
  <c r="F8" i="7"/>
  <c r="F18" i="59" l="1"/>
  <c r="F28" i="54"/>
  <c r="F29" i="54"/>
  <c r="F20" i="121" l="1"/>
  <c r="F17" i="121"/>
  <c r="M15" i="121"/>
  <c r="I15" i="121"/>
  <c r="H15" i="121"/>
  <c r="F21" i="26" l="1"/>
  <c r="F20" i="26"/>
  <c r="F19" i="26"/>
  <c r="F18" i="26"/>
  <c r="F36" i="26"/>
  <c r="J46" i="22"/>
  <c r="I46" i="22"/>
  <c r="G46" i="22"/>
  <c r="F12" i="38"/>
  <c r="F11" i="38"/>
  <c r="F9" i="21" l="1"/>
  <c r="K68" i="28" l="1"/>
  <c r="K66" i="28"/>
  <c r="K65" i="28"/>
  <c r="G68" i="28"/>
  <c r="U57" i="25"/>
  <c r="U56" i="25"/>
  <c r="U55" i="25"/>
  <c r="U58" i="25" s="1"/>
  <c r="U54" i="25"/>
  <c r="Q56" i="25"/>
  <c r="H24" i="25"/>
  <c r="H30" i="25"/>
  <c r="F10" i="25" l="1"/>
  <c r="R47" i="104" l="1"/>
  <c r="Q47" i="104"/>
  <c r="F18" i="116"/>
  <c r="F10" i="127" l="1"/>
  <c r="F9" i="127"/>
  <c r="F8" i="127"/>
  <c r="F7" i="127"/>
  <c r="F11" i="127"/>
  <c r="H83" i="116" l="1"/>
  <c r="F83" i="116"/>
  <c r="J83" i="116" s="1"/>
  <c r="J82" i="116"/>
  <c r="J81" i="116"/>
  <c r="J80" i="116"/>
  <c r="J79" i="116"/>
  <c r="J78" i="116"/>
  <c r="F15" i="7" l="1"/>
  <c r="F38" i="121" l="1"/>
  <c r="M55" i="125" l="1"/>
  <c r="F36" i="22" l="1"/>
  <c r="F35" i="22"/>
  <c r="F34" i="22"/>
  <c r="F33" i="22"/>
  <c r="F32" i="22"/>
  <c r="F31" i="22"/>
  <c r="F30" i="22"/>
  <c r="F29" i="22"/>
  <c r="F28" i="22"/>
  <c r="F27" i="22"/>
  <c r="F26" i="22"/>
  <c r="F25" i="22"/>
  <c r="F24" i="22"/>
  <c r="F10" i="22"/>
  <c r="F9" i="22"/>
  <c r="F8" i="22"/>
  <c r="F7" i="22"/>
  <c r="I147" i="1" l="1"/>
  <c r="I146" i="1"/>
  <c r="I145" i="1"/>
  <c r="B219" i="1"/>
  <c r="C106" i="1"/>
  <c r="C86" i="1"/>
  <c r="C135" i="1"/>
  <c r="B5" i="1"/>
  <c r="B221" i="1" s="1"/>
  <c r="G37" i="121" l="1"/>
  <c r="F40" i="43" l="1"/>
  <c r="F44" i="11" l="1"/>
  <c r="K35" i="74" l="1"/>
  <c r="F7" i="36" l="1"/>
  <c r="F8" i="36"/>
  <c r="F9" i="36"/>
  <c r="F10" i="36"/>
  <c r="L11" i="36"/>
  <c r="F11" i="36" s="1"/>
  <c r="F131" i="1" l="1"/>
  <c r="L37" i="121"/>
  <c r="F37" i="121" s="1"/>
  <c r="F36" i="121"/>
  <c r="L35" i="121"/>
  <c r="F35" i="121" s="1"/>
  <c r="F47" i="120" l="1"/>
  <c r="J88" i="1" l="1"/>
  <c r="I126" i="1"/>
  <c r="I123" i="1"/>
  <c r="H127" i="1"/>
  <c r="G127" i="1"/>
  <c r="F127" i="1"/>
  <c r="E127" i="1"/>
  <c r="D127" i="1"/>
  <c r="J16" i="1"/>
  <c r="C16" i="1"/>
  <c r="I127" i="1" l="1"/>
  <c r="J126" i="1"/>
  <c r="J123" i="1"/>
  <c r="J119" i="1"/>
  <c r="P15" i="121" l="1"/>
  <c r="O15" i="121"/>
  <c r="F10" i="7" l="1"/>
  <c r="F38" i="21" l="1"/>
  <c r="F38" i="120"/>
  <c r="F44" i="21" l="1"/>
  <c r="M44" i="21" s="1"/>
  <c r="J45" i="120" l="1"/>
  <c r="I45" i="120"/>
  <c r="H45" i="120"/>
  <c r="G45" i="120"/>
  <c r="F20" i="120"/>
  <c r="J43" i="21"/>
  <c r="I43" i="21"/>
  <c r="H43" i="21"/>
  <c r="G43" i="21"/>
  <c r="F19" i="21"/>
  <c r="F43" i="21" s="1"/>
  <c r="I122" i="1" l="1"/>
  <c r="J122" i="1" s="1"/>
  <c r="L32" i="126" l="1"/>
  <c r="K34" i="48"/>
  <c r="K37" i="7"/>
  <c r="H37" i="14"/>
  <c r="L42" i="74"/>
  <c r="K42" i="74"/>
  <c r="K41" i="43"/>
  <c r="L39" i="59"/>
  <c r="J37" i="32"/>
  <c r="J169" i="1" l="1"/>
  <c r="C11" i="1"/>
  <c r="J270" i="1" l="1"/>
  <c r="J269" i="1"/>
  <c r="C9" i="2"/>
  <c r="M31" i="128"/>
  <c r="L31" i="128"/>
  <c r="K31" i="128"/>
  <c r="J31" i="128"/>
  <c r="I31" i="128"/>
  <c r="H31" i="128"/>
  <c r="G31" i="128"/>
  <c r="E31" i="128"/>
  <c r="D31" i="128"/>
  <c r="F30" i="128"/>
  <c r="M15" i="128"/>
  <c r="E15" i="128"/>
  <c r="D15" i="128"/>
  <c r="I15" i="128"/>
  <c r="G15" i="128"/>
  <c r="E51" i="128" l="1"/>
  <c r="B63" i="128" s="1"/>
  <c r="G51" i="128"/>
  <c r="I51" i="128"/>
  <c r="G9" i="2" s="1"/>
  <c r="D51" i="128"/>
  <c r="M51" i="128"/>
  <c r="B55" i="128" s="1" a="1"/>
  <c r="B55" i="128" s="1"/>
  <c r="F31" i="128"/>
  <c r="L15" i="128"/>
  <c r="L51" i="128" s="1"/>
  <c r="F15" i="128"/>
  <c r="E9" i="2"/>
  <c r="H15" i="128"/>
  <c r="J15" i="128"/>
  <c r="J51" i="128" s="1"/>
  <c r="K15" i="128"/>
  <c r="K51" i="128" s="1"/>
  <c r="F51" i="128" l="1"/>
  <c r="H51" i="128"/>
  <c r="F9" i="2" s="1"/>
  <c r="B56" i="128"/>
  <c r="I9" i="2"/>
  <c r="H9" i="2"/>
  <c r="B57" i="128" l="1"/>
  <c r="B64" i="128"/>
  <c r="B65" i="128" s="1"/>
  <c r="B66" i="128" s="1"/>
  <c r="J9" i="2" l="1"/>
  <c r="K9" i="2" s="1"/>
  <c r="L9" i="2" s="1"/>
  <c r="F52" i="128"/>
  <c r="D9" i="2" l="1"/>
  <c r="F32" i="126"/>
  <c r="F31" i="126"/>
  <c r="L19" i="59" l="1"/>
  <c r="L7" i="59"/>
  <c r="H33" i="104" l="1"/>
  <c r="H13" i="104"/>
  <c r="F35" i="4" l="1"/>
  <c r="F34" i="4"/>
  <c r="F33" i="4"/>
  <c r="F32" i="4"/>
  <c r="F31" i="4"/>
  <c r="F30" i="4"/>
  <c r="F29" i="4"/>
  <c r="F28" i="4"/>
  <c r="F27" i="4"/>
  <c r="F26" i="4"/>
  <c r="F25" i="4"/>
  <c r="F24" i="4"/>
  <c r="F23" i="4"/>
  <c r="F22" i="4"/>
  <c r="F18" i="18" l="1"/>
  <c r="F17" i="4"/>
  <c r="C53" i="3"/>
  <c r="I53" i="3" s="1"/>
  <c r="C148" i="1"/>
  <c r="I140" i="1"/>
  <c r="I148" i="1" l="1"/>
  <c r="I149" i="1" s="1"/>
  <c r="F53" i="3"/>
  <c r="G53" i="3"/>
  <c r="F54" i="3"/>
  <c r="F85" i="1" s="1"/>
  <c r="G54" i="3"/>
  <c r="G85" i="1" s="1"/>
  <c r="D53" i="3"/>
  <c r="H53" i="3"/>
  <c r="E53" i="3"/>
  <c r="E54" i="3"/>
  <c r="E85" i="1" s="1"/>
  <c r="D54" i="3"/>
  <c r="D85" i="1" s="1"/>
  <c r="F34" i="126"/>
  <c r="F30" i="126"/>
  <c r="F29" i="126"/>
  <c r="F28" i="126"/>
  <c r="F27" i="126"/>
  <c r="F25" i="126"/>
  <c r="F24" i="126"/>
  <c r="F23" i="126"/>
  <c r="F22" i="126"/>
  <c r="F21" i="126"/>
  <c r="F18" i="126"/>
  <c r="F17" i="126"/>
  <c r="F16" i="126"/>
  <c r="F15" i="126"/>
  <c r="F12" i="126"/>
  <c r="F11" i="126"/>
  <c r="F9" i="126"/>
  <c r="F8" i="126"/>
  <c r="F7" i="126"/>
  <c r="F41" i="125"/>
  <c r="F37" i="74" l="1"/>
  <c r="F36" i="74"/>
  <c r="F16" i="4" l="1"/>
  <c r="M38" i="127"/>
  <c r="L38" i="127"/>
  <c r="K38" i="127"/>
  <c r="J38" i="127"/>
  <c r="I38" i="127"/>
  <c r="H38" i="127"/>
  <c r="G38" i="127"/>
  <c r="E38" i="127"/>
  <c r="F36" i="127"/>
  <c r="F35" i="127"/>
  <c r="F34" i="127"/>
  <c r="F33" i="127"/>
  <c r="F32" i="127"/>
  <c r="F31" i="127"/>
  <c r="F30" i="127"/>
  <c r="F29" i="127"/>
  <c r="F28" i="127"/>
  <c r="F38" i="127" s="1"/>
  <c r="F26" i="127"/>
  <c r="M22" i="127"/>
  <c r="L22" i="127"/>
  <c r="K22" i="127"/>
  <c r="J22" i="127"/>
  <c r="I22" i="127"/>
  <c r="H22" i="127"/>
  <c r="G22" i="127"/>
  <c r="E22" i="127"/>
  <c r="D22" i="127"/>
  <c r="F21" i="127"/>
  <c r="F20" i="127"/>
  <c r="F19" i="127"/>
  <c r="F22" i="127" s="1"/>
  <c r="M16" i="127"/>
  <c r="L16" i="127"/>
  <c r="L40" i="127" s="1"/>
  <c r="K16" i="127"/>
  <c r="K40" i="127" s="1"/>
  <c r="J16" i="127"/>
  <c r="J40" i="127" s="1"/>
  <c r="I16" i="127"/>
  <c r="I40" i="127" s="1"/>
  <c r="H16" i="127"/>
  <c r="H40" i="127" s="1"/>
  <c r="G16" i="127"/>
  <c r="G40" i="127" s="1"/>
  <c r="F16" i="127"/>
  <c r="F40" i="127" s="1"/>
  <c r="B51" i="127" s="1"/>
  <c r="E16" i="127"/>
  <c r="E40" i="127" s="1"/>
  <c r="B50" i="127" s="1"/>
  <c r="D16" i="127"/>
  <c r="D40" i="127" s="1"/>
  <c r="F15" i="127"/>
  <c r="F14" i="127"/>
  <c r="F13" i="127"/>
  <c r="F12" i="127"/>
  <c r="M40" i="127" l="1"/>
  <c r="B52" i="127"/>
  <c r="B53" i="127" s="1"/>
  <c r="F13" i="14"/>
  <c r="F12" i="14"/>
  <c r="F11" i="14"/>
  <c r="L53" i="21" l="1"/>
  <c r="M33" i="126" l="1"/>
  <c r="K33" i="126"/>
  <c r="J33" i="126"/>
  <c r="I33" i="126"/>
  <c r="H33" i="126"/>
  <c r="G33" i="126"/>
  <c r="E33" i="126"/>
  <c r="L26" i="126"/>
  <c r="M19" i="126"/>
  <c r="L19" i="126"/>
  <c r="K19" i="126"/>
  <c r="J19" i="126"/>
  <c r="J35" i="126" s="1"/>
  <c r="H19" i="104" s="1"/>
  <c r="I19" i="126"/>
  <c r="H19" i="126"/>
  <c r="G19" i="126"/>
  <c r="F19" i="126"/>
  <c r="E19" i="126"/>
  <c r="D19" i="126"/>
  <c r="M13" i="126"/>
  <c r="L13" i="126"/>
  <c r="K13" i="126"/>
  <c r="J13" i="126"/>
  <c r="I13" i="126"/>
  <c r="H13" i="126"/>
  <c r="G13" i="126"/>
  <c r="E13" i="126"/>
  <c r="D13" i="126"/>
  <c r="L10" i="126"/>
  <c r="F10" i="126" s="1"/>
  <c r="F13" i="126" s="1"/>
  <c r="L33" i="126" l="1"/>
  <c r="L35" i="126" s="1"/>
  <c r="J19" i="104" s="1"/>
  <c r="F26" i="126"/>
  <c r="F33" i="126" s="1"/>
  <c r="F35" i="126" s="1"/>
  <c r="M35" i="126"/>
  <c r="G35" i="126"/>
  <c r="E19" i="104" s="1"/>
  <c r="K35" i="126"/>
  <c r="I19" i="104" s="1"/>
  <c r="I35" i="126"/>
  <c r="G19" i="104" s="1"/>
  <c r="H35" i="126"/>
  <c r="F19" i="104" s="1"/>
  <c r="D35" i="126"/>
  <c r="E35" i="126"/>
  <c r="F16" i="18"/>
  <c r="B42" i="126" l="1"/>
  <c r="C19" i="104"/>
  <c r="B43" i="126"/>
  <c r="D19" i="104"/>
  <c r="B44" i="126"/>
  <c r="B45" i="126" s="1"/>
  <c r="F12" i="48"/>
  <c r="L37" i="125"/>
  <c r="H37" i="125"/>
  <c r="J37" i="125"/>
  <c r="F30" i="11" l="1"/>
  <c r="F30" i="43"/>
  <c r="F31" i="43"/>
  <c r="F29" i="43"/>
  <c r="F28" i="43"/>
  <c r="F27" i="43"/>
  <c r="F26" i="43"/>
  <c r="F25" i="43"/>
  <c r="F24" i="43"/>
  <c r="F23" i="43"/>
  <c r="B48" i="34" l="1"/>
  <c r="B49" i="34" s="1"/>
  <c r="B50" i="34" s="1"/>
  <c r="B47" i="34"/>
  <c r="F18" i="121" l="1"/>
  <c r="J15" i="121"/>
  <c r="G15" i="121"/>
  <c r="G43" i="45" l="1"/>
  <c r="G42" i="45"/>
  <c r="G41" i="45"/>
  <c r="G40" i="45"/>
  <c r="G39" i="45"/>
  <c r="G38" i="45"/>
  <c r="G36" i="45"/>
  <c r="G35" i="45"/>
  <c r="G34" i="45"/>
  <c r="G33" i="45"/>
  <c r="G32" i="45"/>
  <c r="G31" i="45"/>
  <c r="G30" i="45"/>
  <c r="G29" i="45"/>
  <c r="G28" i="45"/>
  <c r="B49" i="27" l="1"/>
  <c r="F10" i="14" l="1"/>
  <c r="F8" i="14"/>
  <c r="F7" i="14"/>
  <c r="F19" i="28" l="1"/>
  <c r="F15" i="28"/>
  <c r="F13" i="28"/>
  <c r="F12" i="28"/>
  <c r="F10" i="28"/>
  <c r="B59" i="25" l="1"/>
  <c r="B60" i="25" s="1"/>
  <c r="F7" i="33" l="1"/>
  <c r="H28" i="2" l="1"/>
  <c r="C29" i="104"/>
  <c r="C10" i="104"/>
  <c r="C47" i="59" l="1"/>
  <c r="C53" i="121"/>
  <c r="J68" i="28"/>
  <c r="I68" i="28"/>
  <c r="H68" i="28"/>
  <c r="H6" i="2"/>
  <c r="L28" i="125" l="1"/>
  <c r="I6" i="3" l="1"/>
  <c r="E7" i="3" s="1"/>
  <c r="E8" i="3" s="1"/>
  <c r="J6" i="3"/>
  <c r="H7" i="3" l="1"/>
  <c r="H8" i="3" s="1"/>
  <c r="G7" i="3"/>
  <c r="G8" i="3" s="1"/>
  <c r="F7" i="3"/>
  <c r="F8" i="3" s="1"/>
  <c r="D7" i="3"/>
  <c r="D8" i="3" s="1"/>
  <c r="I8" i="3" l="1"/>
  <c r="J8" i="3"/>
  <c r="K36" i="125"/>
  <c r="H31" i="44"/>
  <c r="J15" i="1" l="1"/>
  <c r="J287" i="1"/>
  <c r="J286" i="1" l="1"/>
  <c r="H76" i="1" l="1"/>
  <c r="G76" i="1"/>
  <c r="F76" i="1"/>
  <c r="E76" i="1"/>
  <c r="D76" i="1"/>
  <c r="D216" i="1"/>
  <c r="D217" i="1" s="1"/>
  <c r="H197" i="1"/>
  <c r="H198" i="1" s="1"/>
  <c r="J70" i="1" l="1"/>
  <c r="J211" i="1"/>
  <c r="J190" i="1"/>
  <c r="J285" i="1"/>
  <c r="J284" i="1" l="1"/>
  <c r="J283" i="1"/>
  <c r="J282" i="1" l="1"/>
  <c r="K9" i="109" l="1"/>
  <c r="F9" i="109"/>
  <c r="J280" i="1"/>
  <c r="J49" i="1"/>
  <c r="J72" i="1" l="1"/>
  <c r="F22" i="121" l="1"/>
  <c r="J277" i="1" l="1"/>
  <c r="F25" i="121" l="1"/>
  <c r="F24" i="121"/>
  <c r="F23" i="121"/>
  <c r="J195" i="1" l="1"/>
  <c r="J194" i="1"/>
  <c r="J271" i="1" l="1"/>
  <c r="J100" i="1"/>
  <c r="J54" i="1"/>
  <c r="J73" i="1" l="1"/>
  <c r="C239" i="1" l="1"/>
  <c r="J140" i="1"/>
  <c r="J147" i="1"/>
  <c r="J146" i="1"/>
  <c r="C140" i="1"/>
  <c r="H149" i="1"/>
  <c r="H151" i="1" s="1"/>
  <c r="H153" i="1" s="1"/>
  <c r="G149" i="1"/>
  <c r="F149" i="1"/>
  <c r="E149" i="1"/>
  <c r="D149" i="1"/>
  <c r="I154" i="1"/>
  <c r="J152" i="1"/>
  <c r="C151" i="1"/>
  <c r="J144" i="1"/>
  <c r="J143" i="1"/>
  <c r="B142" i="1"/>
  <c r="J141" i="1"/>
  <c r="C139" i="1"/>
  <c r="J267" i="1"/>
  <c r="J265" i="1"/>
  <c r="C142" i="1" l="1"/>
  <c r="J148" i="1"/>
  <c r="H154" i="1"/>
  <c r="F151" i="1"/>
  <c r="F153" i="1" s="1"/>
  <c r="F154" i="1" s="1"/>
  <c r="F155" i="1" s="1"/>
  <c r="G151" i="1"/>
  <c r="G153" i="1" s="1"/>
  <c r="G154" i="1" s="1"/>
  <c r="G155" i="1" s="1"/>
  <c r="D151" i="1"/>
  <c r="D153" i="1" s="1"/>
  <c r="D154" i="1" s="1"/>
  <c r="D155" i="1" s="1"/>
  <c r="E151" i="1"/>
  <c r="E153" i="1" s="1"/>
  <c r="E154" i="1" s="1"/>
  <c r="E155" i="1" s="1"/>
  <c r="H155" i="1" l="1"/>
  <c r="J145" i="1"/>
  <c r="I151" i="1"/>
  <c r="J153" i="1" s="1"/>
  <c r="C153" i="1" s="1"/>
  <c r="C154" i="1" s="1"/>
  <c r="C155" i="1" s="1"/>
  <c r="J149" i="1" l="1"/>
  <c r="J154" i="1" s="1"/>
  <c r="J155" i="1" s="1"/>
  <c r="I155" i="1"/>
  <c r="B48" i="39"/>
  <c r="J151" i="1" l="1"/>
  <c r="J101" i="1"/>
  <c r="K37" i="125"/>
  <c r="J264" i="1" l="1"/>
  <c r="K55" i="125" l="1"/>
  <c r="K57" i="125" s="1"/>
  <c r="J55" i="125"/>
  <c r="J57" i="125" s="1"/>
  <c r="L54" i="125"/>
  <c r="L53" i="125"/>
  <c r="C46" i="125"/>
  <c r="G39" i="125"/>
  <c r="M37" i="125"/>
  <c r="M39" i="125" s="1"/>
  <c r="B45" i="125" s="1"/>
  <c r="J39" i="125"/>
  <c r="I37" i="125"/>
  <c r="I39" i="125" s="1"/>
  <c r="G37" i="125"/>
  <c r="E37" i="125"/>
  <c r="F36" i="125"/>
  <c r="F35" i="125"/>
  <c r="F34" i="125"/>
  <c r="F33" i="125"/>
  <c r="F32" i="125"/>
  <c r="F31" i="125"/>
  <c r="F30" i="125"/>
  <c r="F29" i="125"/>
  <c r="F28" i="125"/>
  <c r="F27" i="125"/>
  <c r="F26" i="125"/>
  <c r="F25" i="125"/>
  <c r="F24" i="125"/>
  <c r="F23" i="125"/>
  <c r="F22" i="125"/>
  <c r="O21" i="125"/>
  <c r="F21" i="125"/>
  <c r="M19" i="125"/>
  <c r="L19" i="125"/>
  <c r="L39" i="125" s="1"/>
  <c r="K19" i="125"/>
  <c r="J19" i="125"/>
  <c r="I19" i="125"/>
  <c r="H19" i="125"/>
  <c r="H39" i="125" s="1"/>
  <c r="G19" i="125"/>
  <c r="E19" i="125"/>
  <c r="D19" i="125"/>
  <c r="F18" i="125"/>
  <c r="F17" i="125"/>
  <c r="F16" i="125"/>
  <c r="F15" i="125"/>
  <c r="F19" i="125" s="1"/>
  <c r="M13" i="125"/>
  <c r="L13" i="125"/>
  <c r="K13" i="125"/>
  <c r="K39" i="125" s="1"/>
  <c r="J13" i="125"/>
  <c r="I13" i="125"/>
  <c r="H13" i="125"/>
  <c r="G13" i="125"/>
  <c r="E13" i="125"/>
  <c r="D13" i="125"/>
  <c r="F12" i="125"/>
  <c r="F11" i="125"/>
  <c r="F10" i="125"/>
  <c r="F9" i="125"/>
  <c r="O8" i="125"/>
  <c r="F8" i="125"/>
  <c r="F7" i="125"/>
  <c r="D39" i="125" l="1"/>
  <c r="F13" i="125"/>
  <c r="E39" i="125"/>
  <c r="F37" i="125"/>
  <c r="F39" i="125" s="1"/>
  <c r="B55" i="125" l="1"/>
  <c r="B44" i="125"/>
  <c r="B54" i="125"/>
  <c r="B56" i="125" s="1"/>
  <c r="B57" i="125" s="1"/>
  <c r="E40" i="125"/>
  <c r="B46" i="125"/>
  <c r="B48" i="125" s="1"/>
  <c r="B49" i="125" s="1"/>
  <c r="K35" i="7"/>
  <c r="F40" i="125" l="1"/>
  <c r="J74" i="1"/>
  <c r="K2" i="1"/>
  <c r="J45" i="125" l="1"/>
  <c r="J46" i="125"/>
  <c r="L46" i="125" s="1"/>
  <c r="D13" i="104"/>
  <c r="K47" i="125"/>
  <c r="K49" i="125" s="1"/>
  <c r="L45" i="125"/>
  <c r="J47" i="125"/>
  <c r="J49" i="125" s="1"/>
  <c r="D33" i="104" l="1"/>
  <c r="M45" i="125"/>
  <c r="F32" i="74"/>
  <c r="F31" i="74"/>
  <c r="F30" i="74"/>
  <c r="F29" i="74"/>
  <c r="I13" i="104" l="1"/>
  <c r="M46" i="125"/>
  <c r="I33" i="104" s="1"/>
  <c r="J33" i="104" s="1"/>
  <c r="J13" i="104"/>
  <c r="O47" i="104"/>
  <c r="M47" i="125" l="1"/>
  <c r="F42" i="11"/>
  <c r="F31" i="10"/>
  <c r="F41" i="43"/>
  <c r="F34" i="48"/>
  <c r="F42" i="74"/>
  <c r="F34" i="18"/>
  <c r="F33" i="18"/>
  <c r="D33" i="2"/>
  <c r="D34" i="2"/>
  <c r="F38" i="31"/>
  <c r="F37" i="31"/>
  <c r="F36" i="31"/>
  <c r="F24" i="31"/>
  <c r="H29" i="104" l="1"/>
  <c r="G29" i="104"/>
  <c r="E29" i="104"/>
  <c r="K50" i="74"/>
  <c r="F40" i="9" l="1"/>
  <c r="J4" i="2" s="1"/>
  <c r="F34" i="11" l="1"/>
  <c r="F33" i="11"/>
  <c r="F32" i="11"/>
  <c r="F31" i="11"/>
  <c r="F21" i="121"/>
  <c r="F18" i="120"/>
  <c r="F44" i="120" s="1"/>
  <c r="B54" i="9" l="1"/>
  <c r="B55" i="9" s="1"/>
  <c r="B56" i="9" s="1"/>
  <c r="B53" i="9"/>
  <c r="K34" i="2" l="1"/>
  <c r="L34" i="2" s="1"/>
  <c r="K33" i="2"/>
  <c r="L33" i="2" s="1"/>
  <c r="F31" i="54" l="1"/>
  <c r="F20" i="14" l="1"/>
  <c r="B46" i="14"/>
  <c r="C46" i="14"/>
  <c r="F20" i="28" l="1"/>
  <c r="F18" i="28"/>
  <c r="M35" i="44"/>
  <c r="L35" i="44"/>
  <c r="K35" i="44"/>
  <c r="J35" i="44"/>
  <c r="I35" i="44"/>
  <c r="G35" i="44"/>
  <c r="K25" i="36" l="1"/>
  <c r="J19" i="36"/>
  <c r="F26" i="121" l="1"/>
  <c r="F19" i="121"/>
  <c r="F20" i="55" l="1"/>
  <c r="F19" i="55"/>
  <c r="F18" i="55"/>
  <c r="F17" i="55"/>
  <c r="F19" i="59" l="1"/>
  <c r="K27" i="121"/>
  <c r="E27" i="121"/>
  <c r="J87" i="1" l="1"/>
  <c r="J14" i="1"/>
  <c r="N47" i="104" l="1"/>
  <c r="M47" i="104"/>
  <c r="L47" i="104"/>
  <c r="K32" i="54" l="1"/>
  <c r="J32" i="54"/>
  <c r="C52" i="55" l="1"/>
  <c r="B52" i="55"/>
  <c r="F28" i="55"/>
  <c r="F15" i="43" l="1"/>
  <c r="L51" i="48" l="1"/>
  <c r="L50" i="48"/>
  <c r="E38" i="16" l="1"/>
  <c r="F37" i="16"/>
  <c r="F36" i="16"/>
  <c r="F35" i="16"/>
  <c r="F34" i="16"/>
  <c r="F33" i="16"/>
  <c r="F32" i="16"/>
  <c r="F31" i="16"/>
  <c r="F30" i="16"/>
  <c r="F29" i="16"/>
  <c r="F28" i="16"/>
  <c r="F27" i="16"/>
  <c r="F26" i="16"/>
  <c r="F25" i="16"/>
  <c r="F24" i="16"/>
  <c r="F30" i="44" l="1"/>
  <c r="F37" i="109" l="1"/>
  <c r="F36" i="109"/>
  <c r="F24" i="109"/>
  <c r="K52" i="48" l="1"/>
  <c r="K54" i="48" s="1"/>
  <c r="J52" i="48"/>
  <c r="J54" i="48" s="1"/>
  <c r="C33" i="104" l="1"/>
  <c r="C13" i="104"/>
  <c r="G33" i="104"/>
  <c r="F33" i="104"/>
  <c r="E33" i="104"/>
  <c r="K33" i="104" l="1"/>
  <c r="L33" i="104" l="1"/>
  <c r="M33" i="104"/>
  <c r="J52" i="14"/>
  <c r="L52" i="14"/>
  <c r="M52" i="14"/>
  <c r="F18" i="11" l="1"/>
  <c r="F19" i="14" l="1"/>
  <c r="F18" i="14"/>
  <c r="C51" i="11" l="1"/>
  <c r="B51" i="11"/>
  <c r="M43" i="11"/>
  <c r="L43" i="11"/>
  <c r="J43" i="11"/>
  <c r="I43" i="11"/>
  <c r="H43" i="11"/>
  <c r="G43" i="11"/>
  <c r="E43" i="11"/>
  <c r="K43" i="11"/>
  <c r="F41" i="11"/>
  <c r="F40" i="11"/>
  <c r="F39" i="11"/>
  <c r="F38" i="11"/>
  <c r="F37" i="11"/>
  <c r="F36" i="11"/>
  <c r="F35" i="11"/>
  <c r="F29" i="11"/>
  <c r="F28" i="11"/>
  <c r="F27" i="11"/>
  <c r="F26" i="11"/>
  <c r="F25" i="11"/>
  <c r="F24" i="11"/>
  <c r="M22" i="11"/>
  <c r="L22" i="11"/>
  <c r="K22" i="11"/>
  <c r="J22" i="11"/>
  <c r="I22" i="11"/>
  <c r="H22" i="11"/>
  <c r="G22" i="11"/>
  <c r="E22" i="11"/>
  <c r="F21" i="11"/>
  <c r="F20" i="11"/>
  <c r="F19" i="11"/>
  <c r="M16" i="11"/>
  <c r="L16" i="11"/>
  <c r="K16" i="11"/>
  <c r="J16" i="11"/>
  <c r="I16" i="11"/>
  <c r="H16" i="11"/>
  <c r="G16" i="11"/>
  <c r="E16" i="11"/>
  <c r="D16" i="11"/>
  <c r="D45" i="11" s="1"/>
  <c r="F15" i="11"/>
  <c r="F14" i="11"/>
  <c r="F13" i="11"/>
  <c r="F12" i="11"/>
  <c r="F11" i="11"/>
  <c r="F10" i="11"/>
  <c r="F9" i="11"/>
  <c r="F8" i="11"/>
  <c r="F7" i="11"/>
  <c r="J45" i="11" l="1"/>
  <c r="M45" i="11"/>
  <c r="I45" i="11"/>
  <c r="H45" i="11"/>
  <c r="F22" i="11"/>
  <c r="G45" i="11"/>
  <c r="L45" i="11"/>
  <c r="F16" i="11"/>
  <c r="K45" i="11"/>
  <c r="E45" i="11"/>
  <c r="B57" i="11" s="1"/>
  <c r="F43" i="11"/>
  <c r="E46" i="11" l="1"/>
  <c r="F45" i="11"/>
  <c r="B58" i="11" s="1"/>
  <c r="B59" i="11" s="1"/>
  <c r="B60" i="11" s="1"/>
  <c r="C40" i="10"/>
  <c r="B40" i="10"/>
  <c r="M32" i="10"/>
  <c r="M34" i="10" s="1"/>
  <c r="L32" i="10"/>
  <c r="L34" i="10" s="1"/>
  <c r="J30" i="104" s="1"/>
  <c r="K32" i="10"/>
  <c r="J32" i="10"/>
  <c r="J34" i="10" s="1"/>
  <c r="I32" i="10"/>
  <c r="I34" i="10" s="1"/>
  <c r="H32" i="10"/>
  <c r="H34" i="10" s="1"/>
  <c r="G32" i="10"/>
  <c r="E32" i="10"/>
  <c r="F30" i="10"/>
  <c r="F29" i="10"/>
  <c r="F28" i="10"/>
  <c r="F27" i="10"/>
  <c r="F26" i="10"/>
  <c r="F25" i="10"/>
  <c r="F24" i="10"/>
  <c r="F23" i="10"/>
  <c r="F22" i="10"/>
  <c r="F21" i="10"/>
  <c r="F20" i="10"/>
  <c r="F19" i="10"/>
  <c r="F18" i="10"/>
  <c r="M16" i="10"/>
  <c r="L16" i="10"/>
  <c r="K16" i="10"/>
  <c r="J16" i="10"/>
  <c r="I16" i="10"/>
  <c r="H16" i="10"/>
  <c r="G16" i="10"/>
  <c r="E16" i="10"/>
  <c r="D16" i="10"/>
  <c r="F15" i="10"/>
  <c r="F14" i="10"/>
  <c r="F13" i="10"/>
  <c r="M11" i="10"/>
  <c r="L11" i="10"/>
  <c r="K11" i="10"/>
  <c r="J11" i="10"/>
  <c r="I11" i="10"/>
  <c r="H11" i="10"/>
  <c r="G11" i="10"/>
  <c r="E11" i="10"/>
  <c r="D11" i="10"/>
  <c r="F10" i="10"/>
  <c r="F9" i="10"/>
  <c r="F8" i="10"/>
  <c r="F7" i="10"/>
  <c r="F46" i="11" l="1"/>
  <c r="F11" i="10"/>
  <c r="D34" i="10"/>
  <c r="G34" i="10"/>
  <c r="K34" i="10"/>
  <c r="E34" i="10"/>
  <c r="B46" i="10" s="1"/>
  <c r="F32" i="10"/>
  <c r="F16" i="10"/>
  <c r="F34" i="10" l="1"/>
  <c r="B47" i="10" s="1"/>
  <c r="B48" i="10" s="1"/>
  <c r="B49" i="10" s="1"/>
  <c r="F35" i="10"/>
  <c r="E35" i="10"/>
  <c r="F12" i="54"/>
  <c r="F11" i="54"/>
  <c r="F16" i="121" l="1"/>
  <c r="F13" i="104" l="1"/>
  <c r="G13" i="104"/>
  <c r="E13" i="104"/>
  <c r="K13" i="104" l="1"/>
  <c r="L13" i="104" s="1"/>
  <c r="I53" i="21"/>
  <c r="H53" i="21"/>
  <c r="F10" i="21"/>
  <c r="F48" i="21"/>
  <c r="F8" i="21"/>
  <c r="F46" i="21" s="1"/>
  <c r="F7" i="21"/>
  <c r="F45" i="21" s="1"/>
  <c r="L22" i="44" l="1"/>
  <c r="F36" i="52" l="1"/>
  <c r="E16" i="109"/>
  <c r="E39" i="31"/>
  <c r="J296" i="1" l="1"/>
  <c r="F7" i="32" l="1"/>
  <c r="J295" i="1" l="1"/>
  <c r="J294" i="1"/>
  <c r="J291" i="1" l="1"/>
  <c r="G53" i="21" l="1"/>
  <c r="F52" i="21"/>
  <c r="F24" i="21"/>
  <c r="J293" i="1" l="1"/>
  <c r="J292" i="1"/>
  <c r="J290" i="1" l="1"/>
  <c r="J288" i="1" l="1"/>
  <c r="K50" i="21"/>
  <c r="K48" i="104" l="1"/>
  <c r="K47" i="104"/>
  <c r="F54" i="40" l="1"/>
  <c r="F35" i="31"/>
  <c r="F34" i="31"/>
  <c r="F33" i="31"/>
  <c r="F32" i="31"/>
  <c r="F31" i="31"/>
  <c r="F30" i="31"/>
  <c r="F29" i="31"/>
  <c r="F28" i="31"/>
  <c r="F27" i="31"/>
  <c r="F26" i="31"/>
  <c r="F25" i="31"/>
  <c r="F21" i="31"/>
  <c r="F20" i="31"/>
  <c r="F19" i="31"/>
  <c r="F18" i="31"/>
  <c r="F15" i="31"/>
  <c r="F14" i="31"/>
  <c r="F13" i="31"/>
  <c r="F12" i="31"/>
  <c r="F10" i="31"/>
  <c r="F9" i="31"/>
  <c r="F8" i="31"/>
  <c r="M39" i="109" l="1"/>
  <c r="L39" i="109"/>
  <c r="K39" i="109"/>
  <c r="J39" i="109"/>
  <c r="I39" i="109"/>
  <c r="H39" i="109"/>
  <c r="G39" i="109"/>
  <c r="E39" i="109"/>
  <c r="F38" i="109"/>
  <c r="J275" i="1" l="1"/>
  <c r="F41" i="29" l="1"/>
  <c r="L37" i="59"/>
  <c r="L36" i="59"/>
  <c r="L31" i="59"/>
  <c r="L27" i="59"/>
  <c r="L23" i="59"/>
  <c r="J274" i="1" l="1"/>
  <c r="J262" i="1" l="1"/>
  <c r="L17" i="6" l="1"/>
  <c r="J255" i="1" l="1"/>
  <c r="B50" i="39" l="1"/>
  <c r="C50" i="39"/>
  <c r="F21" i="28" l="1"/>
  <c r="F17" i="28"/>
  <c r="F16" i="28"/>
  <c r="F14" i="28"/>
  <c r="F11" i="28"/>
  <c r="F9" i="28"/>
  <c r="F8" i="28"/>
  <c r="F7" i="28"/>
  <c r="F22" i="28"/>
  <c r="F31" i="122" l="1"/>
  <c r="M30" i="122"/>
  <c r="K30" i="122"/>
  <c r="J30" i="122"/>
  <c r="I30" i="122"/>
  <c r="H30" i="122"/>
  <c r="G30" i="122"/>
  <c r="E30" i="122"/>
  <c r="F29" i="122"/>
  <c r="F28" i="122"/>
  <c r="F27" i="122"/>
  <c r="F26" i="122"/>
  <c r="F25" i="122"/>
  <c r="L24" i="122"/>
  <c r="L30" i="122" s="1"/>
  <c r="F24" i="122"/>
  <c r="F23" i="122"/>
  <c r="F22" i="122"/>
  <c r="F21" i="122"/>
  <c r="F20" i="122"/>
  <c r="F19" i="122"/>
  <c r="F18" i="122"/>
  <c r="F17" i="122"/>
  <c r="F16" i="122"/>
  <c r="M14" i="122"/>
  <c r="L14" i="122"/>
  <c r="K14" i="122"/>
  <c r="J14" i="122"/>
  <c r="I14" i="122"/>
  <c r="H14" i="122"/>
  <c r="G14" i="122"/>
  <c r="E14" i="122"/>
  <c r="D14" i="122"/>
  <c r="D32" i="122" s="1"/>
  <c r="F13" i="122"/>
  <c r="F12" i="122"/>
  <c r="F11" i="122"/>
  <c r="F10" i="122"/>
  <c r="M8" i="122"/>
  <c r="L8" i="122"/>
  <c r="K8" i="122"/>
  <c r="J8" i="122"/>
  <c r="I8" i="122"/>
  <c r="H8" i="122"/>
  <c r="H32" i="122" s="1"/>
  <c r="F24" i="104" s="1"/>
  <c r="G8" i="122"/>
  <c r="G32" i="122" s="1"/>
  <c r="E24" i="104" s="1"/>
  <c r="E8" i="122"/>
  <c r="F7" i="122"/>
  <c r="F8" i="122" s="1"/>
  <c r="F31" i="36"/>
  <c r="F32" i="36"/>
  <c r="F14" i="122" l="1"/>
  <c r="F30" i="122"/>
  <c r="F32" i="122" s="1"/>
  <c r="J32" i="122"/>
  <c r="H24" i="104" s="1"/>
  <c r="L32" i="122"/>
  <c r="J24" i="104" s="1"/>
  <c r="M32" i="122"/>
  <c r="I32" i="122"/>
  <c r="G24" i="104" s="1"/>
  <c r="K32" i="122"/>
  <c r="I24" i="104" s="1"/>
  <c r="E32" i="122"/>
  <c r="D24" i="104" l="1"/>
  <c r="B40" i="122"/>
  <c r="C24" i="104"/>
  <c r="B39" i="122"/>
  <c r="K24" i="104"/>
  <c r="L24" i="104" s="1"/>
  <c r="C49" i="59"/>
  <c r="F41" i="59"/>
  <c r="M40" i="59"/>
  <c r="L40" i="59"/>
  <c r="K40" i="59"/>
  <c r="J40" i="59"/>
  <c r="I40" i="59"/>
  <c r="H40" i="59"/>
  <c r="G40" i="59"/>
  <c r="E40" i="59"/>
  <c r="F39" i="59"/>
  <c r="F38" i="59"/>
  <c r="F37" i="59"/>
  <c r="F36" i="59"/>
  <c r="F35" i="59"/>
  <c r="F34" i="59"/>
  <c r="F33" i="59"/>
  <c r="F32" i="59"/>
  <c r="F31" i="59"/>
  <c r="F30" i="59"/>
  <c r="F27" i="59"/>
  <c r="F26" i="59"/>
  <c r="F25" i="59"/>
  <c r="F24" i="59"/>
  <c r="F23" i="59"/>
  <c r="M21" i="59"/>
  <c r="L21" i="59"/>
  <c r="K21" i="59"/>
  <c r="J21" i="59"/>
  <c r="I21" i="59"/>
  <c r="H21" i="59"/>
  <c r="G21" i="59"/>
  <c r="E21" i="59"/>
  <c r="D21" i="59"/>
  <c r="F20" i="59"/>
  <c r="F17" i="59"/>
  <c r="F16" i="59"/>
  <c r="F15" i="59"/>
  <c r="M13" i="59"/>
  <c r="L13" i="59"/>
  <c r="K13" i="59"/>
  <c r="J13" i="59"/>
  <c r="I13" i="59"/>
  <c r="H13" i="59"/>
  <c r="G13" i="59"/>
  <c r="E13" i="59"/>
  <c r="D13" i="59"/>
  <c r="F12" i="59"/>
  <c r="F11" i="59"/>
  <c r="F10" i="59"/>
  <c r="F9" i="59"/>
  <c r="F8" i="59"/>
  <c r="F7" i="59"/>
  <c r="C55" i="121"/>
  <c r="B55" i="121"/>
  <c r="M46" i="121"/>
  <c r="L46" i="121"/>
  <c r="K46" i="121"/>
  <c r="J46" i="121"/>
  <c r="I46" i="121"/>
  <c r="H46" i="121"/>
  <c r="G46" i="121"/>
  <c r="E46" i="121"/>
  <c r="F45" i="121"/>
  <c r="F44" i="121"/>
  <c r="F43" i="121"/>
  <c r="F42" i="121"/>
  <c r="F41" i="121"/>
  <c r="F40" i="121"/>
  <c r="F39" i="121"/>
  <c r="F34" i="121"/>
  <c r="F33" i="121"/>
  <c r="F32" i="121"/>
  <c r="F31" i="121"/>
  <c r="F30" i="121"/>
  <c r="F29" i="121"/>
  <c r="L27" i="121"/>
  <c r="D27" i="121"/>
  <c r="M27" i="121"/>
  <c r="J27" i="121"/>
  <c r="H27" i="121"/>
  <c r="G27" i="121"/>
  <c r="M13" i="121"/>
  <c r="L13" i="121"/>
  <c r="K13" i="121"/>
  <c r="J13" i="121"/>
  <c r="I13" i="121"/>
  <c r="H13" i="121"/>
  <c r="G13" i="121"/>
  <c r="E13" i="121"/>
  <c r="D13" i="121"/>
  <c r="F12" i="121"/>
  <c r="F11" i="121"/>
  <c r="F10" i="121"/>
  <c r="F9" i="121"/>
  <c r="F8" i="121"/>
  <c r="F27" i="38"/>
  <c r="B41" i="122" l="1"/>
  <c r="B42" i="122" s="1"/>
  <c r="K48" i="121"/>
  <c r="I61" i="2" s="1"/>
  <c r="D42" i="59"/>
  <c r="H42" i="59"/>
  <c r="L42" i="59"/>
  <c r="I42" i="59"/>
  <c r="L48" i="121"/>
  <c r="J61" i="2" s="1"/>
  <c r="F21" i="59"/>
  <c r="M42" i="59"/>
  <c r="F15" i="121"/>
  <c r="F27" i="121" s="1"/>
  <c r="F46" i="121"/>
  <c r="M48" i="121"/>
  <c r="F13" i="59"/>
  <c r="E42" i="59"/>
  <c r="J42" i="59"/>
  <c r="F13" i="121"/>
  <c r="J48" i="121"/>
  <c r="H61" i="2" s="1"/>
  <c r="E48" i="121"/>
  <c r="B62" i="121" s="1"/>
  <c r="F40" i="59"/>
  <c r="G42" i="59"/>
  <c r="K42" i="59"/>
  <c r="H48" i="121"/>
  <c r="F61" i="2" s="1"/>
  <c r="G48" i="121"/>
  <c r="E61" i="2" s="1"/>
  <c r="I27" i="121"/>
  <c r="I48" i="121" s="1"/>
  <c r="G61" i="2" s="1"/>
  <c r="N51" i="14"/>
  <c r="N50" i="14"/>
  <c r="E49" i="121" l="1"/>
  <c r="E43" i="59"/>
  <c r="B56" i="59"/>
  <c r="B49" i="59"/>
  <c r="K61" i="2"/>
  <c r="F42" i="59"/>
  <c r="F48" i="121"/>
  <c r="J47" i="104"/>
  <c r="B63" i="121" l="1"/>
  <c r="B64" i="121" s="1"/>
  <c r="B65" i="121" s="1"/>
  <c r="C60" i="2"/>
  <c r="E50" i="121"/>
  <c r="C57" i="121" s="1"/>
  <c r="F43" i="59"/>
  <c r="I7" i="104" s="1"/>
  <c r="B57" i="59"/>
  <c r="B58" i="59" s="1"/>
  <c r="B59" i="59" s="1"/>
  <c r="F49" i="121"/>
  <c r="I60" i="2" l="1"/>
  <c r="D60" i="2" s="1"/>
  <c r="F50" i="121"/>
  <c r="B57" i="121" s="1"/>
  <c r="E48" i="37"/>
  <c r="E49" i="37"/>
  <c r="J49" i="37"/>
  <c r="J48" i="37"/>
  <c r="H49" i="37"/>
  <c r="H48" i="37"/>
  <c r="H51" i="37" l="1"/>
  <c r="E51" i="37"/>
  <c r="K60" i="2"/>
  <c r="L60" i="2" s="1"/>
  <c r="J51" i="37"/>
  <c r="F33" i="6"/>
  <c r="E22" i="14"/>
  <c r="C50" i="43"/>
  <c r="F22" i="14" l="1"/>
  <c r="F30" i="25" l="1"/>
  <c r="C49" i="48" l="1"/>
  <c r="G51" i="25"/>
  <c r="H47" i="25" s="1"/>
  <c r="D66" i="2"/>
  <c r="C46" i="2"/>
  <c r="K71" i="28"/>
  <c r="C28" i="2"/>
  <c r="C34" i="104"/>
  <c r="C14" i="104"/>
  <c r="C27" i="104"/>
  <c r="H48" i="25" l="1"/>
  <c r="H49" i="25"/>
  <c r="H50" i="25"/>
  <c r="E35" i="52" l="1"/>
  <c r="E18" i="39"/>
  <c r="E17" i="36" l="1"/>
  <c r="C6" i="2" l="1"/>
  <c r="C26" i="2"/>
  <c r="C4" i="2"/>
  <c r="E47" i="9"/>
  <c r="I48" i="104"/>
  <c r="B6" i="1" l="1"/>
  <c r="B7" i="1" s="1"/>
  <c r="C3" i="1" s="1"/>
  <c r="E20" i="58" l="1"/>
  <c r="I11" i="58" l="1"/>
  <c r="F18" i="58" s="1"/>
  <c r="I10" i="58"/>
  <c r="F17" i="58" s="1"/>
  <c r="I12" i="58"/>
  <c r="F19" i="58" s="1"/>
  <c r="G17" i="58" l="1"/>
  <c r="I13" i="58"/>
  <c r="G19" i="58"/>
  <c r="G18" i="58"/>
  <c r="F43" i="39"/>
  <c r="H43" i="39" s="1"/>
  <c r="H45" i="39" s="1"/>
  <c r="F188" i="1" l="1"/>
  <c r="F197" i="1" s="1"/>
  <c r="F198" i="1" s="1"/>
  <c r="E188" i="1"/>
  <c r="E197" i="1" s="1"/>
  <c r="E198" i="1" s="1"/>
  <c r="G188" i="1"/>
  <c r="G197" i="1" s="1"/>
  <c r="G198" i="1" s="1"/>
  <c r="F20" i="58"/>
  <c r="G20" i="58" s="1"/>
  <c r="G16" i="58"/>
  <c r="I43" i="39"/>
  <c r="I45" i="39" s="1"/>
  <c r="J43" i="39"/>
  <c r="J45" i="39" s="1"/>
  <c r="G43" i="39"/>
  <c r="G45" i="39" s="1"/>
  <c r="J289" i="1"/>
  <c r="D188" i="1" l="1"/>
  <c r="D197" i="1" s="1"/>
  <c r="D198" i="1" s="1"/>
  <c r="J279" i="1"/>
  <c r="J214" i="1" l="1"/>
  <c r="G13" i="1" l="1"/>
  <c r="G231" i="1" s="1"/>
  <c r="F13" i="1"/>
  <c r="F231" i="1" s="1"/>
  <c r="E13" i="1"/>
  <c r="E231" i="1" s="1"/>
  <c r="D132" i="1" l="1"/>
  <c r="D13" i="1"/>
  <c r="D231" i="1" s="1"/>
  <c r="J120" i="1"/>
  <c r="J191" i="1"/>
  <c r="J46" i="1"/>
  <c r="J235" i="1" s="1"/>
  <c r="J18" i="1"/>
  <c r="I13" i="1" l="1"/>
  <c r="J13" i="1" s="1"/>
  <c r="J272" i="1"/>
  <c r="J116" i="1" l="1"/>
  <c r="J52" i="1"/>
  <c r="J27" i="1"/>
  <c r="H299" i="1" l="1"/>
  <c r="C299" i="1"/>
  <c r="J254" i="1"/>
  <c r="H13" i="39" l="1"/>
  <c r="F36" i="48" l="1"/>
  <c r="D68" i="2" l="1"/>
  <c r="F35" i="120"/>
  <c r="F34" i="120"/>
  <c r="F33" i="120"/>
  <c r="F32" i="120"/>
  <c r="F31" i="120"/>
  <c r="F30" i="120"/>
  <c r="F29" i="120"/>
  <c r="F28" i="120"/>
  <c r="F27" i="120"/>
  <c r="F26" i="120"/>
  <c r="F25" i="120"/>
  <c r="F24" i="120"/>
  <c r="L50" i="120"/>
  <c r="J68" i="2" s="1"/>
  <c r="J50" i="120"/>
  <c r="H68" i="2" s="1"/>
  <c r="I50" i="120"/>
  <c r="H50" i="120"/>
  <c r="F68" i="2" s="1"/>
  <c r="K49" i="120"/>
  <c r="K50" i="120" s="1"/>
  <c r="I68" i="2" s="1"/>
  <c r="M37" i="120"/>
  <c r="L37" i="120"/>
  <c r="K37" i="120"/>
  <c r="J37" i="120"/>
  <c r="I37" i="120"/>
  <c r="H37" i="120"/>
  <c r="G37" i="120"/>
  <c r="E37" i="120"/>
  <c r="F36" i="120"/>
  <c r="M22" i="120"/>
  <c r="M39" i="120" s="1"/>
  <c r="L22" i="120"/>
  <c r="K22" i="120"/>
  <c r="J22" i="120"/>
  <c r="I22" i="120"/>
  <c r="H22" i="120"/>
  <c r="G22" i="120"/>
  <c r="E22" i="120"/>
  <c r="D22" i="120"/>
  <c r="F21" i="120"/>
  <c r="F19" i="120"/>
  <c r="F17" i="120"/>
  <c r="F43" i="120" s="1"/>
  <c r="G43" i="120" s="1"/>
  <c r="G50" i="120" s="1"/>
  <c r="E68" i="2" s="1"/>
  <c r="M15" i="120"/>
  <c r="L15" i="120"/>
  <c r="K15" i="120"/>
  <c r="J15" i="120"/>
  <c r="I15" i="120"/>
  <c r="H15" i="120"/>
  <c r="G15" i="120"/>
  <c r="E15" i="120"/>
  <c r="D15" i="120"/>
  <c r="F14" i="120"/>
  <c r="F13" i="120"/>
  <c r="F12" i="120"/>
  <c r="F11" i="120"/>
  <c r="F10" i="120"/>
  <c r="F48" i="120" s="1"/>
  <c r="M48" i="120" s="1"/>
  <c r="F9" i="120"/>
  <c r="F8" i="120"/>
  <c r="M44" i="120" s="1"/>
  <c r="F7" i="120"/>
  <c r="F37" i="120" l="1"/>
  <c r="M47" i="120" s="1"/>
  <c r="M45" i="120"/>
  <c r="J39" i="120"/>
  <c r="J51" i="120" s="1"/>
  <c r="G68" i="2"/>
  <c r="K68" i="2" s="1"/>
  <c r="I39" i="120"/>
  <c r="H67" i="2"/>
  <c r="G39" i="120"/>
  <c r="K39" i="120"/>
  <c r="I67" i="2" s="1"/>
  <c r="F22" i="120"/>
  <c r="E39" i="120"/>
  <c r="C67" i="2" s="1"/>
  <c r="L39" i="120"/>
  <c r="H39" i="120"/>
  <c r="D39" i="120"/>
  <c r="F50" i="120"/>
  <c r="D67" i="2" s="1"/>
  <c r="M43" i="120"/>
  <c r="M50" i="120" s="1"/>
  <c r="M51" i="120" s="1"/>
  <c r="F15" i="120"/>
  <c r="K51" i="120" l="1"/>
  <c r="G67" i="2"/>
  <c r="I51" i="120"/>
  <c r="G51" i="120"/>
  <c r="E67" i="2"/>
  <c r="F39" i="120"/>
  <c r="H51" i="120"/>
  <c r="F67" i="2"/>
  <c r="L51" i="120"/>
  <c r="J67" i="2"/>
  <c r="H47" i="104"/>
  <c r="K67" i="2" l="1"/>
  <c r="L67" i="2" s="1"/>
  <c r="I47" i="104"/>
  <c r="F20" i="21" l="1"/>
  <c r="F51" i="21" s="1"/>
  <c r="I54" i="21"/>
  <c r="C65" i="2" l="1"/>
  <c r="C69" i="2" s="1"/>
  <c r="J90" i="1" l="1"/>
  <c r="J253" i="1" l="1"/>
  <c r="F30" i="109" l="1"/>
  <c r="I48" i="31" l="1"/>
  <c r="F37" i="17" l="1"/>
  <c r="B65" i="1" l="1"/>
  <c r="J71" i="1"/>
  <c r="J66" i="1"/>
  <c r="B67" i="1" l="1"/>
  <c r="B69" i="1" s="1"/>
  <c r="C61" i="1"/>
  <c r="C65" i="1" s="1"/>
  <c r="C67" i="1" s="1"/>
  <c r="C75" i="1" s="1"/>
  <c r="C76" i="1" s="1"/>
  <c r="I69" i="1" l="1"/>
  <c r="I75" i="1" s="1"/>
  <c r="C69" i="1" l="1"/>
  <c r="J69" i="1"/>
  <c r="I76" i="1"/>
  <c r="J75" i="1"/>
  <c r="J76" i="1"/>
  <c r="E49" i="104" l="1"/>
  <c r="E47" i="104" s="1"/>
  <c r="M18" i="39" l="1"/>
  <c r="L18" i="39"/>
  <c r="K18" i="39"/>
  <c r="J18" i="39"/>
  <c r="I18" i="39"/>
  <c r="H18" i="39"/>
  <c r="G18" i="39"/>
  <c r="F13" i="39" l="1"/>
  <c r="B49" i="104" l="1"/>
  <c r="B47" i="104" s="1"/>
  <c r="C47" i="104"/>
  <c r="F25" i="39" l="1"/>
  <c r="C49" i="54" l="1"/>
  <c r="E16" i="38" l="1"/>
  <c r="F25" i="38"/>
  <c r="E22" i="38"/>
  <c r="E22" i="16" l="1"/>
  <c r="E40" i="16" s="1"/>
  <c r="B47" i="16" s="1"/>
  <c r="E19" i="18" l="1"/>
  <c r="F18" i="109" l="1"/>
  <c r="F29" i="109" l="1"/>
  <c r="F39" i="109" s="1"/>
  <c r="E33" i="36" l="1"/>
  <c r="E20" i="4" l="1"/>
  <c r="E11" i="9" l="1"/>
  <c r="E11" i="58" l="1"/>
  <c r="D49" i="104" l="1"/>
  <c r="D48" i="104"/>
  <c r="D47" i="104" s="1"/>
  <c r="E22" i="117" l="1"/>
  <c r="F40" i="117"/>
  <c r="M39" i="117"/>
  <c r="M41" i="117" s="1"/>
  <c r="L39" i="117"/>
  <c r="L41" i="117" s="1"/>
  <c r="J17" i="104" s="1"/>
  <c r="K39" i="117"/>
  <c r="J39" i="117"/>
  <c r="I39" i="117"/>
  <c r="I41" i="117" s="1"/>
  <c r="G17" i="104" s="1"/>
  <c r="H39" i="117"/>
  <c r="H41" i="117" s="1"/>
  <c r="F17" i="104" s="1"/>
  <c r="G39" i="117"/>
  <c r="E39" i="117"/>
  <c r="F38" i="117"/>
  <c r="F37" i="117"/>
  <c r="F36" i="117"/>
  <c r="F35" i="117"/>
  <c r="F34" i="117"/>
  <c r="F33" i="117"/>
  <c r="F32" i="117"/>
  <c r="F31" i="117"/>
  <c r="F30" i="117"/>
  <c r="F29" i="117"/>
  <c r="F28" i="117"/>
  <c r="F27" i="117"/>
  <c r="F26" i="117"/>
  <c r="F25" i="117"/>
  <c r="F24" i="117"/>
  <c r="M22" i="117"/>
  <c r="L22" i="117"/>
  <c r="K22" i="117"/>
  <c r="J22" i="117"/>
  <c r="I22" i="117"/>
  <c r="H22" i="117"/>
  <c r="G22" i="117"/>
  <c r="D22" i="117"/>
  <c r="F21" i="117"/>
  <c r="F20" i="117"/>
  <c r="F19" i="117"/>
  <c r="F18" i="117"/>
  <c r="M16" i="117"/>
  <c r="L16" i="117"/>
  <c r="K16" i="117"/>
  <c r="J16" i="117"/>
  <c r="I16" i="117"/>
  <c r="H16" i="117"/>
  <c r="G16" i="117"/>
  <c r="D16" i="117"/>
  <c r="F15" i="117"/>
  <c r="F14" i="117"/>
  <c r="F13" i="117"/>
  <c r="F12" i="117"/>
  <c r="F11" i="117"/>
  <c r="F10" i="117"/>
  <c r="F9" i="117"/>
  <c r="F16" i="117" s="1"/>
  <c r="F8" i="117"/>
  <c r="F9" i="55"/>
  <c r="E22" i="116"/>
  <c r="F40" i="116"/>
  <c r="M39" i="116"/>
  <c r="L39" i="116"/>
  <c r="K39" i="116"/>
  <c r="J39" i="116"/>
  <c r="I39" i="116"/>
  <c r="H39" i="116"/>
  <c r="H41" i="116" s="1"/>
  <c r="F18" i="104" s="1"/>
  <c r="G39" i="116"/>
  <c r="E39" i="116"/>
  <c r="F38" i="116"/>
  <c r="F37" i="116"/>
  <c r="F36" i="116"/>
  <c r="F35" i="116"/>
  <c r="F34" i="116"/>
  <c r="F33" i="116"/>
  <c r="F32" i="116"/>
  <c r="F31" i="116"/>
  <c r="F30" i="116"/>
  <c r="F29" i="116"/>
  <c r="F28" i="116"/>
  <c r="F27" i="116"/>
  <c r="F26" i="116"/>
  <c r="F25" i="116"/>
  <c r="F24" i="116"/>
  <c r="M22" i="116"/>
  <c r="L22" i="116"/>
  <c r="K22" i="116"/>
  <c r="J22" i="116"/>
  <c r="I22" i="116"/>
  <c r="H22" i="116"/>
  <c r="G22" i="116"/>
  <c r="D22" i="116"/>
  <c r="F21" i="116"/>
  <c r="F20" i="116"/>
  <c r="F19" i="116"/>
  <c r="M16" i="116"/>
  <c r="L16" i="116"/>
  <c r="K16" i="116"/>
  <c r="J16" i="116"/>
  <c r="I16" i="116"/>
  <c r="H16" i="116"/>
  <c r="G16" i="116"/>
  <c r="D16" i="116"/>
  <c r="F15" i="116"/>
  <c r="F14" i="116"/>
  <c r="F13" i="116"/>
  <c r="F12" i="116"/>
  <c r="F11" i="116"/>
  <c r="F10" i="116"/>
  <c r="F9" i="116"/>
  <c r="F8" i="116"/>
  <c r="E22" i="27"/>
  <c r="F29" i="48"/>
  <c r="G41" i="116" l="1"/>
  <c r="E18" i="104" s="1"/>
  <c r="J41" i="116"/>
  <c r="H18" i="104" s="1"/>
  <c r="K41" i="116"/>
  <c r="I18" i="104" s="1"/>
  <c r="L41" i="116"/>
  <c r="J18" i="104" s="1"/>
  <c r="F16" i="116"/>
  <c r="F39" i="116"/>
  <c r="D41" i="116"/>
  <c r="F22" i="116"/>
  <c r="I41" i="116"/>
  <c r="M41" i="116"/>
  <c r="J41" i="117"/>
  <c r="H17" i="104" s="1"/>
  <c r="F22" i="117"/>
  <c r="D41" i="117"/>
  <c r="G41" i="117"/>
  <c r="E17" i="104" s="1"/>
  <c r="K41" i="117"/>
  <c r="I17" i="104" s="1"/>
  <c r="F39" i="117"/>
  <c r="F41" i="117" s="1"/>
  <c r="B49" i="117" s="1"/>
  <c r="E41" i="117"/>
  <c r="B48" i="117" s="1"/>
  <c r="E41" i="116"/>
  <c r="F10" i="6"/>
  <c r="F33" i="43"/>
  <c r="F8" i="43"/>
  <c r="F7" i="43"/>
  <c r="C48" i="29"/>
  <c r="F41" i="116" l="1"/>
  <c r="K19" i="104"/>
  <c r="L19" i="104" s="1"/>
  <c r="G18" i="104"/>
  <c r="K18" i="104"/>
  <c r="L18" i="104" s="1"/>
  <c r="C18" i="104"/>
  <c r="B48" i="116"/>
  <c r="B50" i="117"/>
  <c r="B51" i="117" s="1"/>
  <c r="C17" i="104"/>
  <c r="D17" i="104"/>
  <c r="K17" i="104"/>
  <c r="L17" i="104" s="1"/>
  <c r="F18" i="34"/>
  <c r="F21" i="32"/>
  <c r="F20" i="32"/>
  <c r="F19" i="32"/>
  <c r="F18" i="32"/>
  <c r="F39" i="54"/>
  <c r="F32" i="54"/>
  <c r="F30" i="54"/>
  <c r="F27" i="54"/>
  <c r="F26" i="54"/>
  <c r="F24" i="54"/>
  <c r="B49" i="116" l="1"/>
  <c r="B50" i="116" s="1"/>
  <c r="B51" i="116" s="1"/>
  <c r="D18" i="104"/>
  <c r="F9" i="48"/>
  <c r="F8" i="48"/>
  <c r="F36" i="18" l="1"/>
  <c r="G45" i="45"/>
  <c r="F40" i="27"/>
  <c r="F39" i="17"/>
  <c r="F39" i="15"/>
  <c r="F45" i="28" l="1"/>
  <c r="F39" i="25"/>
  <c r="F39" i="37"/>
  <c r="K49" i="21" l="1"/>
  <c r="K53" i="21" s="1"/>
  <c r="F44" i="55" l="1"/>
  <c r="F36" i="9"/>
  <c r="F44" i="74"/>
  <c r="F43" i="43"/>
  <c r="F26" i="38" l="1"/>
  <c r="F42" i="55" l="1"/>
  <c r="F37" i="4" l="1"/>
  <c r="F68" i="40" l="1"/>
  <c r="F39" i="7"/>
  <c r="P18" i="2" s="1"/>
  <c r="F40" i="31"/>
  <c r="F40" i="109" l="1"/>
  <c r="F44" i="6" l="1"/>
  <c r="K38" i="7" l="1"/>
  <c r="K43" i="55"/>
  <c r="H37" i="34"/>
  <c r="F37" i="7" l="1"/>
  <c r="F37" i="15"/>
  <c r="F41" i="55"/>
  <c r="F38" i="27"/>
  <c r="F37" i="27"/>
  <c r="F36" i="7"/>
  <c r="F36" i="17"/>
  <c r="F37" i="33"/>
  <c r="F36" i="33"/>
  <c r="F42" i="6"/>
  <c r="F41" i="6"/>
  <c r="F37" i="14"/>
  <c r="F36" i="14"/>
  <c r="F39" i="43"/>
  <c r="F39" i="29"/>
  <c r="F41" i="74"/>
  <c r="F37" i="32"/>
  <c r="J42" i="54"/>
  <c r="F36" i="15"/>
  <c r="F37" i="34"/>
  <c r="F36" i="34"/>
  <c r="F36" i="32"/>
  <c r="E42" i="54"/>
  <c r="M42" i="54"/>
  <c r="L42" i="54"/>
  <c r="K42" i="54"/>
  <c r="I42" i="54"/>
  <c r="H42" i="54"/>
  <c r="G42" i="54"/>
  <c r="F41" i="54"/>
  <c r="C44" i="48" l="1"/>
  <c r="F8" i="55" l="1"/>
  <c r="F7" i="55"/>
  <c r="F36" i="27" l="1"/>
  <c r="F35" i="27"/>
  <c r="F34" i="27"/>
  <c r="F33" i="27"/>
  <c r="F32" i="27"/>
  <c r="F31" i="27"/>
  <c r="F30" i="27"/>
  <c r="F29" i="27"/>
  <c r="F28" i="27"/>
  <c r="F27" i="27"/>
  <c r="F26" i="27"/>
  <c r="F25" i="27"/>
  <c r="F24" i="27"/>
  <c r="F21" i="27"/>
  <c r="F20" i="27"/>
  <c r="F19" i="27"/>
  <c r="F18" i="27"/>
  <c r="J13" i="7" l="1"/>
  <c r="E13" i="7"/>
  <c r="D13" i="7"/>
  <c r="D45" i="40"/>
  <c r="E16" i="31" l="1"/>
  <c r="E22" i="31" l="1"/>
  <c r="E41" i="31" s="1"/>
  <c r="B54" i="31" s="1"/>
  <c r="F40" i="55" l="1"/>
  <c r="F39" i="55"/>
  <c r="F38" i="55"/>
  <c r="F37" i="55"/>
  <c r="F36" i="55"/>
  <c r="F31" i="55"/>
  <c r="F29" i="55"/>
  <c r="F27" i="55"/>
  <c r="F26" i="55"/>
  <c r="F25" i="55"/>
  <c r="F24" i="55"/>
  <c r="F23" i="55"/>
  <c r="F35" i="17" l="1"/>
  <c r="F34" i="17"/>
  <c r="F33" i="17"/>
  <c r="F32" i="17"/>
  <c r="F31" i="17"/>
  <c r="F30" i="17"/>
  <c r="F29" i="17"/>
  <c r="F28" i="17"/>
  <c r="F27" i="17"/>
  <c r="F26" i="17"/>
  <c r="F25" i="17"/>
  <c r="F24" i="17"/>
  <c r="F21" i="17"/>
  <c r="F20" i="17"/>
  <c r="F19" i="17"/>
  <c r="F18" i="17"/>
  <c r="M22" i="109" l="1"/>
  <c r="L22" i="109"/>
  <c r="K22" i="109"/>
  <c r="J22" i="109"/>
  <c r="I22" i="109"/>
  <c r="H22" i="109"/>
  <c r="G22" i="109"/>
  <c r="E22" i="109"/>
  <c r="D22" i="109"/>
  <c r="F21" i="109"/>
  <c r="F20" i="109"/>
  <c r="F19" i="109"/>
  <c r="M16" i="109"/>
  <c r="L16" i="109"/>
  <c r="K16" i="109"/>
  <c r="J16" i="109"/>
  <c r="I16" i="109"/>
  <c r="H16" i="109"/>
  <c r="G16" i="109"/>
  <c r="D16" i="109"/>
  <c r="F15" i="109"/>
  <c r="F14" i="109"/>
  <c r="F13" i="109"/>
  <c r="F12" i="109"/>
  <c r="F11" i="109"/>
  <c r="F10" i="109"/>
  <c r="F8" i="109"/>
  <c r="F7" i="109"/>
  <c r="D41" i="109" l="1"/>
  <c r="J41" i="109"/>
  <c r="H10" i="2" s="1"/>
  <c r="F22" i="109"/>
  <c r="I41" i="109"/>
  <c r="G10" i="2" s="1"/>
  <c r="M41" i="109"/>
  <c r="H41" i="109"/>
  <c r="F10" i="2" s="1"/>
  <c r="L41" i="109"/>
  <c r="J10" i="2" s="1"/>
  <c r="F16" i="109"/>
  <c r="F41" i="109" s="1"/>
  <c r="G41" i="109"/>
  <c r="E10" i="2" s="1"/>
  <c r="K41" i="109"/>
  <c r="I10" i="2" s="1"/>
  <c r="E41" i="109"/>
  <c r="I16" i="2"/>
  <c r="J16" i="2"/>
  <c r="K14" i="2"/>
  <c r="L14" i="2" s="1"/>
  <c r="K15" i="2"/>
  <c r="L15" i="2" s="1"/>
  <c r="C6" i="1"/>
  <c r="C7" i="1" s="1"/>
  <c r="C30" i="1" l="1"/>
  <c r="C31" i="1" s="1"/>
  <c r="D10" i="2"/>
  <c r="B49" i="109"/>
  <c r="C10" i="2"/>
  <c r="B48" i="109"/>
  <c r="K10" i="2"/>
  <c r="L10" i="2" s="1"/>
  <c r="E16" i="14"/>
  <c r="B50" i="109" l="1"/>
  <c r="B51" i="109" s="1"/>
  <c r="C54" i="2" l="1"/>
  <c r="E38" i="37"/>
  <c r="F21" i="16"/>
  <c r="F20" i="16"/>
  <c r="F19" i="16"/>
  <c r="F18" i="16"/>
  <c r="K44" i="45" l="1"/>
  <c r="E20" i="48" l="1"/>
  <c r="E35" i="48"/>
  <c r="E15" i="48"/>
  <c r="E37" i="48" l="1"/>
  <c r="B60" i="48" s="1"/>
  <c r="E38" i="48" l="1"/>
  <c r="F40" i="54"/>
  <c r="F38" i="54"/>
  <c r="F37" i="54"/>
  <c r="F36" i="54"/>
  <c r="F35" i="54"/>
  <c r="F34" i="54"/>
  <c r="F25" i="54"/>
  <c r="F7" i="54"/>
  <c r="F8" i="54"/>
  <c r="F9" i="54"/>
  <c r="F10" i="54"/>
  <c r="F42" i="54" l="1"/>
  <c r="F23" i="29"/>
  <c r="F22" i="29"/>
  <c r="F21" i="29"/>
  <c r="F20" i="29"/>
  <c r="F19" i="29"/>
  <c r="F18" i="29"/>
  <c r="E24" i="29"/>
  <c r="F8" i="6" l="1"/>
  <c r="E13" i="6" l="1"/>
  <c r="F40" i="6"/>
  <c r="F39" i="6"/>
  <c r="F38" i="6"/>
  <c r="F37" i="6"/>
  <c r="F36" i="6"/>
  <c r="F35" i="6"/>
  <c r="F31" i="6"/>
  <c r="F30" i="6"/>
  <c r="F29" i="6"/>
  <c r="F28" i="6"/>
  <c r="F27" i="6"/>
  <c r="F26" i="6"/>
  <c r="F25" i="6"/>
  <c r="F24" i="6"/>
  <c r="F23" i="6"/>
  <c r="F22" i="6"/>
  <c r="F21" i="6"/>
  <c r="E19" i="6"/>
  <c r="F18" i="6"/>
  <c r="F17" i="6"/>
  <c r="F16" i="6"/>
  <c r="F15" i="6"/>
  <c r="F43" i="6" l="1"/>
  <c r="F32" i="43" l="1"/>
  <c r="E11" i="43" l="1"/>
  <c r="G45" i="40" l="1"/>
  <c r="H45" i="40"/>
  <c r="I45" i="40"/>
  <c r="J45" i="40"/>
  <c r="K45" i="40"/>
  <c r="L45" i="40"/>
  <c r="M45" i="40"/>
  <c r="E67" i="40"/>
  <c r="F66" i="40"/>
  <c r="F65" i="40"/>
  <c r="F64" i="40"/>
  <c r="F63" i="40"/>
  <c r="F62" i="40"/>
  <c r="F61" i="40"/>
  <c r="F60" i="40"/>
  <c r="F59" i="40"/>
  <c r="F58" i="40"/>
  <c r="F57" i="40"/>
  <c r="F56" i="40"/>
  <c r="F55" i="40"/>
  <c r="F53" i="40"/>
  <c r="F48" i="40"/>
  <c r="F49" i="40"/>
  <c r="F50" i="40"/>
  <c r="F44" i="40"/>
  <c r="F7" i="40"/>
  <c r="E45" i="40"/>
  <c r="F45" i="40" l="1"/>
  <c r="E22" i="22" l="1"/>
  <c r="F36" i="21" l="1"/>
  <c r="F35" i="21"/>
  <c r="F34" i="21"/>
  <c r="F33" i="21"/>
  <c r="F32" i="21"/>
  <c r="F31" i="21"/>
  <c r="F30" i="21"/>
  <c r="F29" i="21"/>
  <c r="F28" i="21"/>
  <c r="F27" i="21"/>
  <c r="F26" i="21"/>
  <c r="F25" i="21"/>
  <c r="F21" i="21"/>
  <c r="F18" i="21"/>
  <c r="F17" i="21"/>
  <c r="F49" i="21" s="1"/>
  <c r="F14" i="21"/>
  <c r="F13" i="21"/>
  <c r="F12" i="21"/>
  <c r="F11" i="21"/>
  <c r="F47" i="21" l="1"/>
  <c r="E44" i="28"/>
  <c r="E38" i="25" l="1"/>
  <c r="E22" i="25"/>
  <c r="E16" i="25"/>
  <c r="E40" i="25" l="1"/>
  <c r="E38" i="38"/>
  <c r="E40" i="38" s="1"/>
  <c r="B53" i="38" s="1"/>
  <c r="F14" i="18" l="1"/>
  <c r="F34" i="36" l="1"/>
  <c r="E12" i="36"/>
  <c r="F19" i="4" l="1"/>
  <c r="F18" i="4"/>
  <c r="F15" i="4"/>
  <c r="F44" i="45" l="1"/>
  <c r="D44" i="45"/>
  <c r="B204" i="1" l="1"/>
  <c r="B183" i="1"/>
  <c r="B185" i="1" s="1"/>
  <c r="B164" i="1"/>
  <c r="B165" i="1" s="1"/>
  <c r="B82" i="1"/>
  <c r="B37" i="1"/>
  <c r="B9" i="1"/>
  <c r="B39" i="1" l="1"/>
  <c r="C33" i="1"/>
  <c r="B84" i="1"/>
  <c r="C78" i="1"/>
  <c r="C200" i="1"/>
  <c r="B42" i="1"/>
  <c r="B205" i="1"/>
  <c r="B226" i="1" s="1"/>
  <c r="C203" i="1" l="1"/>
  <c r="C36" i="1"/>
  <c r="C37" i="1" s="1"/>
  <c r="F23" i="48"/>
  <c r="C42" i="1" l="1"/>
  <c r="C58" i="1"/>
  <c r="G42" i="1"/>
  <c r="F42" i="1"/>
  <c r="E42" i="1"/>
  <c r="D42" i="1"/>
  <c r="I228" i="1"/>
  <c r="J56" i="1"/>
  <c r="D44" i="1" l="1"/>
  <c r="E44" i="1"/>
  <c r="E58" i="1" s="1"/>
  <c r="F44" i="1"/>
  <c r="F58" i="1" s="1"/>
  <c r="G44" i="1"/>
  <c r="G58" i="1" s="1"/>
  <c r="I42" i="1"/>
  <c r="I44" i="1" s="1"/>
  <c r="J55" i="1"/>
  <c r="D58" i="1" l="1"/>
  <c r="C232" i="1"/>
  <c r="J43" i="1" l="1"/>
  <c r="N208" i="1" l="1"/>
  <c r="I208" i="1"/>
  <c r="H208" i="1"/>
  <c r="G208" i="1"/>
  <c r="F208" i="1"/>
  <c r="E208" i="1"/>
  <c r="D208" i="1"/>
  <c r="C208" i="1"/>
  <c r="I232" i="1"/>
  <c r="H232" i="1"/>
  <c r="G232" i="1"/>
  <c r="F232" i="1"/>
  <c r="E232" i="1"/>
  <c r="J187" i="1" l="1"/>
  <c r="J232" i="1" s="1"/>
  <c r="D232" i="1"/>
  <c r="F39" i="14" l="1"/>
  <c r="F39" i="34"/>
  <c r="H38" i="37" l="1"/>
  <c r="K13" i="2" l="1"/>
  <c r="L13" i="2" s="1"/>
  <c r="G38" i="37" l="1"/>
  <c r="I38" i="37"/>
  <c r="J38" i="37"/>
  <c r="K38" i="37"/>
  <c r="L38" i="37"/>
  <c r="M38" i="37"/>
  <c r="F28" i="37"/>
  <c r="E22" i="21" l="1"/>
  <c r="E15" i="21"/>
  <c r="E38" i="7"/>
  <c r="M24" i="29"/>
  <c r="L24" i="29"/>
  <c r="K24" i="29"/>
  <c r="J24" i="29"/>
  <c r="I24" i="29"/>
  <c r="H24" i="29"/>
  <c r="G24" i="29"/>
  <c r="F24" i="29"/>
  <c r="C30" i="104"/>
  <c r="F33" i="39" l="1"/>
  <c r="F32" i="39"/>
  <c r="F31" i="39"/>
  <c r="F30" i="39"/>
  <c r="F29" i="39"/>
  <c r="F28" i="39"/>
  <c r="F27" i="39"/>
  <c r="F26" i="39"/>
  <c r="F24" i="39"/>
  <c r="F23" i="39"/>
  <c r="F22" i="39"/>
  <c r="F21" i="39"/>
  <c r="F20" i="39"/>
  <c r="F17" i="39"/>
  <c r="F16" i="39"/>
  <c r="F15" i="39"/>
  <c r="F7" i="39"/>
  <c r="F18" i="39" l="1"/>
  <c r="F26" i="7"/>
  <c r="F25" i="7"/>
  <c r="F28" i="74" l="1"/>
  <c r="F33" i="74"/>
  <c r="F34" i="74"/>
  <c r="F35" i="74"/>
  <c r="F21" i="22" l="1"/>
  <c r="F20" i="22"/>
  <c r="F19" i="22"/>
  <c r="F18" i="22"/>
  <c r="F24" i="7" l="1"/>
  <c r="E42" i="43" l="1"/>
  <c r="G13" i="7" l="1"/>
  <c r="H13" i="7"/>
  <c r="I13" i="7"/>
  <c r="K13" i="7"/>
  <c r="L13" i="7"/>
  <c r="E29" i="28" l="1"/>
  <c r="E23" i="28"/>
  <c r="E37" i="21"/>
  <c r="E46" i="28" l="1"/>
  <c r="B78" i="28" s="1"/>
  <c r="K15" i="48" l="1"/>
  <c r="E16" i="43" l="1"/>
  <c r="E44" i="43" s="1"/>
  <c r="B58" i="43" s="1"/>
  <c r="E45" i="43" l="1"/>
  <c r="C28" i="104" s="1"/>
  <c r="B50" i="43"/>
  <c r="F14" i="43"/>
  <c r="F13" i="43"/>
  <c r="F38" i="43"/>
  <c r="F37" i="43"/>
  <c r="F36" i="43"/>
  <c r="F35" i="43"/>
  <c r="F34" i="43"/>
  <c r="F22" i="43"/>
  <c r="F21" i="43"/>
  <c r="F20" i="43"/>
  <c r="F19" i="43"/>
  <c r="F18" i="43"/>
  <c r="F9" i="43"/>
  <c r="F10" i="43"/>
  <c r="F34" i="9" l="1"/>
  <c r="F33" i="9"/>
  <c r="F32" i="9"/>
  <c r="F31" i="9"/>
  <c r="F30" i="9"/>
  <c r="F29" i="9"/>
  <c r="F28" i="9"/>
  <c r="F27" i="9"/>
  <c r="F26" i="9"/>
  <c r="F25" i="9"/>
  <c r="F24" i="9"/>
  <c r="F23" i="9"/>
  <c r="F22" i="9"/>
  <c r="F21" i="9"/>
  <c r="F20" i="9"/>
  <c r="F19" i="9"/>
  <c r="E19" i="9" s="1"/>
  <c r="E35" i="9" s="1"/>
  <c r="E37" i="9" s="1"/>
  <c r="F16" i="9"/>
  <c r="F15" i="9"/>
  <c r="F14" i="9"/>
  <c r="F13" i="9"/>
  <c r="F7" i="9"/>
  <c r="F8" i="9"/>
  <c r="F9" i="9"/>
  <c r="F29" i="37" l="1"/>
  <c r="F38" i="37" l="1"/>
  <c r="F48" i="37"/>
  <c r="F49" i="37"/>
  <c r="F25" i="26"/>
  <c r="F26" i="26"/>
  <c r="F27" i="26"/>
  <c r="F28" i="26"/>
  <c r="F29" i="26"/>
  <c r="F30" i="26"/>
  <c r="F31" i="26"/>
  <c r="F32" i="26"/>
  <c r="F33" i="26"/>
  <c r="F34" i="26"/>
  <c r="F35" i="26"/>
  <c r="F24" i="26"/>
  <c r="F51" i="37" l="1"/>
  <c r="F43" i="28"/>
  <c r="F42" i="28"/>
  <c r="F41" i="28"/>
  <c r="F40" i="28"/>
  <c r="F39" i="28"/>
  <c r="F38" i="28"/>
  <c r="F37" i="28"/>
  <c r="F36" i="28"/>
  <c r="F35" i="28"/>
  <c r="F34" i="28"/>
  <c r="F33" i="28"/>
  <c r="F32" i="28"/>
  <c r="F31" i="28"/>
  <c r="F28" i="28"/>
  <c r="F27" i="28"/>
  <c r="F26" i="28"/>
  <c r="F25" i="28"/>
  <c r="F37" i="25" l="1"/>
  <c r="F36" i="25"/>
  <c r="F35" i="25"/>
  <c r="F34" i="25"/>
  <c r="F33" i="25"/>
  <c r="F32" i="25"/>
  <c r="F31" i="25"/>
  <c r="F29" i="25"/>
  <c r="F28" i="25"/>
  <c r="F27" i="25"/>
  <c r="F26" i="25"/>
  <c r="F25" i="25"/>
  <c r="F24" i="25"/>
  <c r="G22" i="25"/>
  <c r="H22" i="25"/>
  <c r="I22" i="25"/>
  <c r="J22" i="25"/>
  <c r="K22" i="25"/>
  <c r="L22" i="25"/>
  <c r="M22" i="25"/>
  <c r="F21" i="25"/>
  <c r="F20" i="25"/>
  <c r="F19" i="25"/>
  <c r="F18" i="25"/>
  <c r="F7" i="25"/>
  <c r="F8" i="25"/>
  <c r="F9" i="25"/>
  <c r="F11" i="25"/>
  <c r="F12" i="25"/>
  <c r="F13" i="25"/>
  <c r="F22" i="25" l="1"/>
  <c r="G16" i="31"/>
  <c r="H16" i="31"/>
  <c r="I16" i="31"/>
  <c r="J16" i="31"/>
  <c r="K16" i="31"/>
  <c r="L16" i="31"/>
  <c r="M16" i="31"/>
  <c r="G22" i="31"/>
  <c r="H22" i="31"/>
  <c r="I22" i="31"/>
  <c r="J22" i="31"/>
  <c r="K22" i="31"/>
  <c r="L22" i="31"/>
  <c r="M22" i="31"/>
  <c r="F22" i="31"/>
  <c r="F7" i="31"/>
  <c r="F35" i="33" l="1"/>
  <c r="F34" i="33"/>
  <c r="F33" i="33"/>
  <c r="F32" i="33"/>
  <c r="F31" i="33"/>
  <c r="F30" i="33"/>
  <c r="F29" i="33"/>
  <c r="F28" i="33"/>
  <c r="F27" i="33"/>
  <c r="F26" i="33"/>
  <c r="F25" i="33"/>
  <c r="F24" i="33"/>
  <c r="F21" i="33"/>
  <c r="F20" i="33"/>
  <c r="F19" i="33"/>
  <c r="F18" i="33"/>
  <c r="F8" i="32" l="1"/>
  <c r="F9" i="32"/>
  <c r="F10" i="32"/>
  <c r="F11" i="32"/>
  <c r="F35" i="32" l="1"/>
  <c r="F34" i="32"/>
  <c r="F33" i="32"/>
  <c r="F32" i="32"/>
  <c r="F31" i="32"/>
  <c r="F30" i="32"/>
  <c r="F29" i="32"/>
  <c r="F28" i="32"/>
  <c r="F27" i="32"/>
  <c r="F26" i="32"/>
  <c r="F25" i="32"/>
  <c r="F24" i="32"/>
  <c r="F37" i="38" l="1"/>
  <c r="F36" i="38"/>
  <c r="F35" i="38"/>
  <c r="F34" i="38"/>
  <c r="F33" i="38"/>
  <c r="F32" i="38"/>
  <c r="F31" i="38"/>
  <c r="F30" i="38"/>
  <c r="F29" i="38"/>
  <c r="F28" i="38"/>
  <c r="F24" i="38"/>
  <c r="F21" i="38"/>
  <c r="F20" i="38"/>
  <c r="F19" i="38"/>
  <c r="F18" i="38"/>
  <c r="F7" i="38"/>
  <c r="F8" i="38"/>
  <c r="F9" i="38"/>
  <c r="F10" i="38"/>
  <c r="E43" i="55" l="1"/>
  <c r="M43" i="55"/>
  <c r="G43" i="55"/>
  <c r="H43" i="55"/>
  <c r="I43" i="55"/>
  <c r="J43" i="55"/>
  <c r="L43" i="55"/>
  <c r="F33" i="48"/>
  <c r="F32" i="48"/>
  <c r="F31" i="48"/>
  <c r="F30" i="48"/>
  <c r="F28" i="48"/>
  <c r="F27" i="48"/>
  <c r="F26" i="48"/>
  <c r="F25" i="48"/>
  <c r="F24" i="48"/>
  <c r="F19" i="48"/>
  <c r="F18" i="48"/>
  <c r="F10" i="48"/>
  <c r="F11" i="48"/>
  <c r="F7" i="48"/>
  <c r="F35" i="7"/>
  <c r="F34" i="7"/>
  <c r="F33" i="7"/>
  <c r="F32" i="7"/>
  <c r="F31" i="7"/>
  <c r="F30" i="7"/>
  <c r="F29" i="7"/>
  <c r="F28" i="7"/>
  <c r="F23" i="7"/>
  <c r="F22" i="7"/>
  <c r="F21" i="7"/>
  <c r="F20" i="7"/>
  <c r="F19" i="7"/>
  <c r="F7" i="7"/>
  <c r="F12" i="7"/>
  <c r="F13" i="7" l="1"/>
  <c r="F43" i="55"/>
  <c r="M43" i="74" l="1"/>
  <c r="L43" i="74"/>
  <c r="K43" i="74"/>
  <c r="J43" i="74"/>
  <c r="I43" i="74"/>
  <c r="H43" i="74"/>
  <c r="G43" i="74"/>
  <c r="E43" i="74"/>
  <c r="F40" i="74"/>
  <c r="F39" i="74"/>
  <c r="F38" i="74"/>
  <c r="F27" i="74"/>
  <c r="F26" i="74"/>
  <c r="F25" i="74"/>
  <c r="M23" i="74"/>
  <c r="L23" i="74"/>
  <c r="K23" i="74"/>
  <c r="J23" i="74"/>
  <c r="I23" i="74"/>
  <c r="H23" i="74"/>
  <c r="G23" i="74"/>
  <c r="E23" i="74"/>
  <c r="D23" i="74"/>
  <c r="F22" i="74"/>
  <c r="F21" i="74"/>
  <c r="F20" i="74"/>
  <c r="F19" i="74"/>
  <c r="F18" i="74"/>
  <c r="M16" i="74"/>
  <c r="L16" i="74"/>
  <c r="K16" i="74"/>
  <c r="J16" i="74"/>
  <c r="I16" i="74"/>
  <c r="H16" i="74"/>
  <c r="G16" i="74"/>
  <c r="E16" i="74"/>
  <c r="D16" i="74"/>
  <c r="F15" i="74"/>
  <c r="F14" i="74"/>
  <c r="F13" i="74"/>
  <c r="F12" i="74"/>
  <c r="F11" i="74"/>
  <c r="F10" i="74"/>
  <c r="F9" i="74"/>
  <c r="F8" i="74"/>
  <c r="F7" i="74"/>
  <c r="F34" i="52"/>
  <c r="F33" i="52"/>
  <c r="F32" i="52"/>
  <c r="F31" i="52"/>
  <c r="F30" i="52"/>
  <c r="F29" i="52"/>
  <c r="F28" i="52"/>
  <c r="F27" i="52"/>
  <c r="F26" i="52"/>
  <c r="F25" i="52"/>
  <c r="F24" i="52"/>
  <c r="F23" i="52"/>
  <c r="F22" i="52"/>
  <c r="F19" i="52"/>
  <c r="F18" i="52"/>
  <c r="F17" i="52"/>
  <c r="F16" i="52"/>
  <c r="F15" i="52"/>
  <c r="F23" i="74" l="1"/>
  <c r="K45" i="74"/>
  <c r="E45" i="74"/>
  <c r="B56" i="74" s="1"/>
  <c r="G45" i="74"/>
  <c r="E10" i="104" s="1"/>
  <c r="J45" i="74"/>
  <c r="H10" i="104" s="1"/>
  <c r="F43" i="74"/>
  <c r="I45" i="74"/>
  <c r="G10" i="104" s="1"/>
  <c r="M45" i="74"/>
  <c r="F16" i="74"/>
  <c r="D45" i="74"/>
  <c r="H45" i="74"/>
  <c r="F29" i="104" s="1"/>
  <c r="L45" i="74"/>
  <c r="F45" i="74" l="1"/>
  <c r="D29" i="104" l="1"/>
  <c r="D10" i="104"/>
  <c r="I10" i="104" s="1"/>
  <c r="B57" i="74"/>
  <c r="B58" i="74" s="1"/>
  <c r="B59" i="74" s="1"/>
  <c r="J29" i="104" l="1"/>
  <c r="I29" i="104"/>
  <c r="K10" i="104"/>
  <c r="L10" i="104" s="1"/>
  <c r="J50" i="74"/>
  <c r="F35" i="34"/>
  <c r="F34" i="34"/>
  <c r="F33" i="34"/>
  <c r="F32" i="34"/>
  <c r="F31" i="34"/>
  <c r="F30" i="34"/>
  <c r="F29" i="34"/>
  <c r="F28" i="34"/>
  <c r="F27" i="34"/>
  <c r="F26" i="34"/>
  <c r="F25" i="34"/>
  <c r="F24" i="34"/>
  <c r="F21" i="34"/>
  <c r="F20" i="34"/>
  <c r="F19" i="34"/>
  <c r="K29" i="104" l="1"/>
  <c r="F47" i="40"/>
  <c r="L29" i="104" l="1"/>
  <c r="M29" i="104"/>
  <c r="F31" i="44"/>
  <c r="F29" i="44"/>
  <c r="F28" i="44"/>
  <c r="F27" i="44"/>
  <c r="F26" i="44"/>
  <c r="F25" i="44"/>
  <c r="F24" i="44"/>
  <c r="F23" i="44"/>
  <c r="F22" i="44"/>
  <c r="F21" i="44"/>
  <c r="F20" i="44"/>
  <c r="F19" i="44"/>
  <c r="F18" i="44"/>
  <c r="F15" i="44"/>
  <c r="F14" i="44"/>
  <c r="F13" i="44"/>
  <c r="F12" i="44"/>
  <c r="F7" i="44"/>
  <c r="F8" i="44"/>
  <c r="F9" i="44"/>
  <c r="F16" i="44" l="1"/>
  <c r="F35" i="15"/>
  <c r="F34" i="15"/>
  <c r="F33" i="15"/>
  <c r="F32" i="15"/>
  <c r="F31" i="15"/>
  <c r="F30" i="15"/>
  <c r="F29" i="15"/>
  <c r="F28" i="15"/>
  <c r="F27" i="15"/>
  <c r="F26" i="15"/>
  <c r="F25" i="15"/>
  <c r="F24" i="15"/>
  <c r="F25" i="14" l="1"/>
  <c r="F26" i="14"/>
  <c r="F27" i="14"/>
  <c r="F28" i="14"/>
  <c r="F29" i="14"/>
  <c r="F30" i="14"/>
  <c r="F31" i="14"/>
  <c r="F32" i="14"/>
  <c r="F33" i="14"/>
  <c r="F34" i="14"/>
  <c r="F35" i="14"/>
  <c r="F24" i="14"/>
  <c r="F15" i="14"/>
  <c r="F9" i="14"/>
  <c r="F30" i="36" l="1"/>
  <c r="F29" i="36"/>
  <c r="F28" i="36"/>
  <c r="F27" i="36"/>
  <c r="F26" i="36"/>
  <c r="F25" i="36"/>
  <c r="F24" i="36"/>
  <c r="F23" i="36"/>
  <c r="F22" i="36"/>
  <c r="F21" i="36"/>
  <c r="F20" i="36"/>
  <c r="F19" i="36"/>
  <c r="F16" i="36"/>
  <c r="F15" i="36"/>
  <c r="F14" i="36"/>
  <c r="C177" i="1" l="1"/>
  <c r="C157" i="1"/>
  <c r="C160" i="1" s="1"/>
  <c r="E166" i="1"/>
  <c r="D166" i="1"/>
  <c r="C219" i="1" l="1"/>
  <c r="C180" i="1"/>
  <c r="E40" i="34"/>
  <c r="E37" i="18"/>
  <c r="B44" i="18" s="1"/>
  <c r="E35" i="36"/>
  <c r="B42" i="36" s="1"/>
  <c r="E38" i="4"/>
  <c r="B45" i="4" s="1"/>
  <c r="C26" i="104" l="1"/>
  <c r="G53" i="2"/>
  <c r="H53" i="2"/>
  <c r="I53" i="2"/>
  <c r="J53" i="2"/>
  <c r="F53" i="2"/>
  <c r="E53" i="2"/>
  <c r="D57" i="2"/>
  <c r="D53" i="2"/>
  <c r="K53" i="2" l="1"/>
  <c r="F10" i="9" l="1"/>
  <c r="G7" i="104" l="1"/>
  <c r="H7" i="104"/>
  <c r="F7" i="104"/>
  <c r="E7" i="104"/>
  <c r="C7" i="104" l="1"/>
  <c r="G59" i="2"/>
  <c r="H59" i="2"/>
  <c r="K7" i="104" l="1"/>
  <c r="L7" i="104" s="1"/>
  <c r="G166" i="1"/>
  <c r="D7" i="104" l="1"/>
  <c r="F166" i="1" l="1"/>
  <c r="H166" i="1"/>
  <c r="I166" i="1"/>
  <c r="J18" i="3"/>
  <c r="J163" i="1"/>
  <c r="J166" i="1" l="1"/>
  <c r="M21" i="55" l="1"/>
  <c r="L21" i="55"/>
  <c r="K21" i="55"/>
  <c r="J21" i="55"/>
  <c r="I21" i="55"/>
  <c r="H21" i="55"/>
  <c r="G21" i="55"/>
  <c r="E21" i="55"/>
  <c r="D21" i="55"/>
  <c r="M15" i="55"/>
  <c r="L15" i="55"/>
  <c r="K15" i="55"/>
  <c r="J15" i="55"/>
  <c r="I15" i="55"/>
  <c r="H15" i="55"/>
  <c r="G15" i="55"/>
  <c r="E15" i="55"/>
  <c r="D15" i="55"/>
  <c r="F14" i="55"/>
  <c r="F13" i="55"/>
  <c r="F12" i="55"/>
  <c r="F11" i="55"/>
  <c r="F10" i="55"/>
  <c r="F21" i="55" l="1"/>
  <c r="G45" i="55"/>
  <c r="E5" i="104" s="1"/>
  <c r="L45" i="55"/>
  <c r="J5" i="104" s="1"/>
  <c r="H45" i="55"/>
  <c r="F5" i="104" s="1"/>
  <c r="E45" i="55"/>
  <c r="B58" i="55" s="1"/>
  <c r="I45" i="55"/>
  <c r="G5" i="104" s="1"/>
  <c r="F15" i="55"/>
  <c r="F45" i="55" s="1"/>
  <c r="B59" i="55" s="1"/>
  <c r="K45" i="55"/>
  <c r="I5" i="104" s="1"/>
  <c r="J45" i="55"/>
  <c r="H5" i="104" s="1"/>
  <c r="M45" i="55"/>
  <c r="M22" i="54"/>
  <c r="L22" i="54"/>
  <c r="K22" i="54"/>
  <c r="J22" i="54"/>
  <c r="I22" i="54"/>
  <c r="H22" i="54"/>
  <c r="H44" i="54" s="1"/>
  <c r="G22" i="54"/>
  <c r="F22" i="54"/>
  <c r="E22" i="54"/>
  <c r="D22" i="54"/>
  <c r="M16" i="54"/>
  <c r="L16" i="54"/>
  <c r="K16" i="54"/>
  <c r="J16" i="54"/>
  <c r="J44" i="54" s="1"/>
  <c r="H3" i="104" s="1"/>
  <c r="I16" i="54"/>
  <c r="H16" i="54"/>
  <c r="G16" i="54"/>
  <c r="E16" i="54"/>
  <c r="D16" i="54"/>
  <c r="F15" i="54"/>
  <c r="F14" i="54"/>
  <c r="F13" i="54"/>
  <c r="G44" i="54" l="1"/>
  <c r="K44" i="54"/>
  <c r="B60" i="55"/>
  <c r="B61" i="55" s="1"/>
  <c r="L44" i="54"/>
  <c r="J3" i="104" s="1"/>
  <c r="E46" i="55"/>
  <c r="C5" i="104" s="1"/>
  <c r="F46" i="55"/>
  <c r="D5" i="104" s="1"/>
  <c r="E44" i="54"/>
  <c r="B56" i="54" s="1"/>
  <c r="I44" i="54"/>
  <c r="G3" i="104" s="1"/>
  <c r="M44" i="54"/>
  <c r="K5" i="104"/>
  <c r="L5" i="104" s="1"/>
  <c r="F3" i="104"/>
  <c r="F16" i="54"/>
  <c r="F44" i="54" s="1"/>
  <c r="B57" i="54" s="1"/>
  <c r="E3" i="104"/>
  <c r="I3" i="104"/>
  <c r="D44" i="54"/>
  <c r="B58" i="54" l="1"/>
  <c r="B59" i="54" s="1"/>
  <c r="F45" i="54"/>
  <c r="D3" i="104" s="1"/>
  <c r="E45" i="54"/>
  <c r="C3" i="104" s="1"/>
  <c r="B49" i="54"/>
  <c r="K3" i="104" l="1"/>
  <c r="F35" i="48"/>
  <c r="K35" i="48"/>
  <c r="L3" i="104" l="1"/>
  <c r="M38" i="25" l="1"/>
  <c r="G38" i="25"/>
  <c r="H38" i="25"/>
  <c r="I38" i="25"/>
  <c r="J38" i="25"/>
  <c r="K38" i="25"/>
  <c r="L38" i="25"/>
  <c r="F38" i="25"/>
  <c r="N44" i="45" l="1"/>
  <c r="M44" i="45"/>
  <c r="L44" i="45"/>
  <c r="J44" i="45"/>
  <c r="I44" i="45"/>
  <c r="H44" i="45"/>
  <c r="E44" i="45"/>
  <c r="N20" i="45"/>
  <c r="M20" i="45"/>
  <c r="L20" i="45"/>
  <c r="K20" i="45"/>
  <c r="J20" i="45"/>
  <c r="I20" i="45"/>
  <c r="H20" i="45"/>
  <c r="G20" i="45"/>
  <c r="F20" i="45"/>
  <c r="E20" i="45"/>
  <c r="D20" i="45"/>
  <c r="N13" i="45"/>
  <c r="M13" i="45"/>
  <c r="L13" i="45"/>
  <c r="K13" i="45"/>
  <c r="J13" i="45"/>
  <c r="I13" i="45"/>
  <c r="H13" i="45"/>
  <c r="F13" i="45"/>
  <c r="E13" i="45"/>
  <c r="D13" i="45"/>
  <c r="G12" i="45"/>
  <c r="G11" i="45"/>
  <c r="G10" i="45"/>
  <c r="G9" i="45"/>
  <c r="G8" i="45"/>
  <c r="G7" i="45"/>
  <c r="H46" i="45" l="1"/>
  <c r="E3" i="2" s="1"/>
  <c r="L46" i="45"/>
  <c r="I3" i="2" s="1"/>
  <c r="K46" i="45"/>
  <c r="H3" i="2" s="1"/>
  <c r="I46" i="45"/>
  <c r="F3" i="2" s="1"/>
  <c r="M46" i="45"/>
  <c r="J3" i="2" s="1"/>
  <c r="J46" i="45"/>
  <c r="G3" i="2" s="1"/>
  <c r="N46" i="45"/>
  <c r="E46" i="45"/>
  <c r="B64" i="45" s="1"/>
  <c r="G44" i="45"/>
  <c r="G13" i="45"/>
  <c r="C3" i="2" l="1"/>
  <c r="G46" i="45"/>
  <c r="K3" i="2"/>
  <c r="M35" i="52"/>
  <c r="L35" i="52"/>
  <c r="K35" i="52"/>
  <c r="J35" i="52"/>
  <c r="I35" i="52"/>
  <c r="H35" i="52"/>
  <c r="G35" i="52"/>
  <c r="F35" i="52"/>
  <c r="M20" i="52"/>
  <c r="L20" i="52"/>
  <c r="K20" i="52"/>
  <c r="J20" i="52"/>
  <c r="I20" i="52"/>
  <c r="H20" i="52"/>
  <c r="G20" i="52"/>
  <c r="F20" i="52"/>
  <c r="E20" i="52"/>
  <c r="D20" i="52"/>
  <c r="M13" i="52"/>
  <c r="L13" i="52"/>
  <c r="K13" i="52"/>
  <c r="J13" i="52"/>
  <c r="I13" i="52"/>
  <c r="H13" i="52"/>
  <c r="G13" i="52"/>
  <c r="E13" i="52"/>
  <c r="D13" i="52"/>
  <c r="F12" i="52"/>
  <c r="F11" i="52"/>
  <c r="F10" i="52"/>
  <c r="F9" i="52"/>
  <c r="F8" i="52"/>
  <c r="F7" i="52"/>
  <c r="B65" i="45" l="1"/>
  <c r="B66" i="45" s="1"/>
  <c r="B67" i="45" s="1"/>
  <c r="G59" i="45"/>
  <c r="D3" i="2"/>
  <c r="L3" i="2"/>
  <c r="D37" i="52"/>
  <c r="J37" i="52"/>
  <c r="H4" i="104" s="1"/>
  <c r="E37" i="52"/>
  <c r="I37" i="52"/>
  <c r="G4" i="104" s="1"/>
  <c r="M37" i="52"/>
  <c r="G37" i="52"/>
  <c r="E4" i="104" s="1"/>
  <c r="K37" i="52"/>
  <c r="I4" i="104" s="1"/>
  <c r="F13" i="52"/>
  <c r="F37" i="52" s="1"/>
  <c r="H37" i="52"/>
  <c r="F4" i="104" s="1"/>
  <c r="L37" i="52"/>
  <c r="J4" i="104" s="1"/>
  <c r="D4" i="104" l="1"/>
  <c r="B46" i="52"/>
  <c r="C4" i="104"/>
  <c r="B45" i="52"/>
  <c r="K4" i="104"/>
  <c r="L4" i="104" s="1"/>
  <c r="B47" i="52" l="1"/>
  <c r="B48" i="52" s="1"/>
  <c r="C81" i="1"/>
  <c r="C222" i="1" s="1"/>
  <c r="C82" i="1" l="1"/>
  <c r="M35" i="48"/>
  <c r="L35" i="48"/>
  <c r="J35" i="48"/>
  <c r="I35" i="48"/>
  <c r="H35" i="48"/>
  <c r="G35" i="48"/>
  <c r="M20" i="48"/>
  <c r="L20" i="48"/>
  <c r="K20" i="48"/>
  <c r="J20" i="48"/>
  <c r="I20" i="48"/>
  <c r="H20" i="48"/>
  <c r="G20" i="48"/>
  <c r="F20" i="48"/>
  <c r="M15" i="48"/>
  <c r="L15" i="48"/>
  <c r="J15" i="48"/>
  <c r="I15" i="48"/>
  <c r="H15" i="48"/>
  <c r="G15" i="48"/>
  <c r="F15" i="48"/>
  <c r="D15" i="48"/>
  <c r="D37" i="48" s="1"/>
  <c r="C103" i="1" l="1"/>
  <c r="C104" i="1" s="1"/>
  <c r="L37" i="48"/>
  <c r="J34" i="104" s="1"/>
  <c r="H37" i="48"/>
  <c r="I37" i="48"/>
  <c r="M37" i="48"/>
  <c r="F37" i="48"/>
  <c r="J37" i="48"/>
  <c r="G37" i="48"/>
  <c r="K37" i="48"/>
  <c r="G34" i="104" l="1"/>
  <c r="G14" i="104"/>
  <c r="E34" i="104"/>
  <c r="E14" i="104"/>
  <c r="H34" i="104"/>
  <c r="H14" i="104"/>
  <c r="F14" i="104"/>
  <c r="F34" i="104"/>
  <c r="B61" i="48"/>
  <c r="B62" i="48" s="1"/>
  <c r="B63" i="48" s="1"/>
  <c r="F38" i="48"/>
  <c r="J14" i="104"/>
  <c r="K42" i="48" l="1"/>
  <c r="J42" i="48"/>
  <c r="J43" i="48"/>
  <c r="K44" i="48"/>
  <c r="K46" i="48" s="1"/>
  <c r="B44" i="48"/>
  <c r="M47" i="21"/>
  <c r="B47" i="48" l="1"/>
  <c r="B48" i="48" s="1"/>
  <c r="B49" i="48" s="1"/>
  <c r="M32" i="44" l="1"/>
  <c r="L32" i="44"/>
  <c r="K32" i="44"/>
  <c r="J32" i="44"/>
  <c r="I32" i="44"/>
  <c r="H32" i="44"/>
  <c r="H35" i="44" s="1"/>
  <c r="G32" i="44"/>
  <c r="F32" i="44"/>
  <c r="E32" i="44"/>
  <c r="M16" i="44"/>
  <c r="L16" i="44"/>
  <c r="K16" i="44"/>
  <c r="J16" i="44"/>
  <c r="I16" i="44"/>
  <c r="H16" i="44"/>
  <c r="G16" i="44"/>
  <c r="E16" i="44"/>
  <c r="D16" i="44"/>
  <c r="N10" i="44"/>
  <c r="N35" i="44" s="1"/>
  <c r="M10" i="44"/>
  <c r="L10" i="44"/>
  <c r="K10" i="44"/>
  <c r="J10" i="44"/>
  <c r="I10" i="44"/>
  <c r="H10" i="44"/>
  <c r="G10" i="44"/>
  <c r="E10" i="44"/>
  <c r="D10" i="44"/>
  <c r="E35" i="44" l="1"/>
  <c r="B44" i="44"/>
  <c r="C7" i="2"/>
  <c r="E7" i="2"/>
  <c r="F7" i="2"/>
  <c r="J7" i="2"/>
  <c r="I7" i="2"/>
  <c r="G7" i="2"/>
  <c r="H7" i="2"/>
  <c r="D35" i="44"/>
  <c r="F10" i="44"/>
  <c r="F35" i="44" s="1"/>
  <c r="B45" i="44" l="1"/>
  <c r="B46" i="44" s="1"/>
  <c r="B47" i="44" s="1"/>
  <c r="D7" i="2"/>
  <c r="K7" i="2"/>
  <c r="L7" i="2" s="1"/>
  <c r="C129" i="1"/>
  <c r="C110" i="1"/>
  <c r="B113" i="1"/>
  <c r="C132" i="1" l="1"/>
  <c r="C234" i="1"/>
  <c r="C133" i="1"/>
  <c r="C113" i="1"/>
  <c r="J114" i="1" l="1"/>
  <c r="M42" i="43" l="1"/>
  <c r="L42" i="43"/>
  <c r="K42" i="43"/>
  <c r="J42" i="43"/>
  <c r="I42" i="43"/>
  <c r="H42" i="43"/>
  <c r="G42" i="43"/>
  <c r="F42" i="43"/>
  <c r="M16" i="43"/>
  <c r="L16" i="43"/>
  <c r="K16" i="43"/>
  <c r="J16" i="43"/>
  <c r="I16" i="43"/>
  <c r="H16" i="43"/>
  <c r="G16" i="43"/>
  <c r="F16" i="43"/>
  <c r="M11" i="43"/>
  <c r="L11" i="43"/>
  <c r="K11" i="43"/>
  <c r="J11" i="43"/>
  <c r="I11" i="43"/>
  <c r="H11" i="43"/>
  <c r="G11" i="43"/>
  <c r="F11" i="43"/>
  <c r="D11" i="43"/>
  <c r="J44" i="43" l="1"/>
  <c r="H28" i="104" s="1"/>
  <c r="G44" i="43"/>
  <c r="E28" i="104" s="1"/>
  <c r="K44" i="43"/>
  <c r="F44" i="43"/>
  <c r="B59" i="43" s="1"/>
  <c r="B60" i="43" s="1"/>
  <c r="B61" i="43" s="1"/>
  <c r="H44" i="43"/>
  <c r="F28" i="104" s="1"/>
  <c r="L44" i="43"/>
  <c r="J28" i="104" s="1"/>
  <c r="I44" i="43"/>
  <c r="G28" i="104" s="1"/>
  <c r="M44" i="43"/>
  <c r="F45" i="43" l="1"/>
  <c r="D28" i="104" s="1"/>
  <c r="I28" i="104"/>
  <c r="M35" i="9"/>
  <c r="L35" i="9"/>
  <c r="K35" i="9"/>
  <c r="J35" i="9"/>
  <c r="I35" i="9"/>
  <c r="H35" i="9"/>
  <c r="G35" i="9"/>
  <c r="F35" i="9"/>
  <c r="K28" i="104" l="1"/>
  <c r="M28" i="104" s="1"/>
  <c r="M19" i="6"/>
  <c r="L19" i="6"/>
  <c r="K19" i="6"/>
  <c r="J19" i="6"/>
  <c r="I19" i="6"/>
  <c r="H19" i="6"/>
  <c r="G19" i="6"/>
  <c r="F19" i="6"/>
  <c r="L28" i="104" l="1"/>
  <c r="E22" i="33"/>
  <c r="F14" i="25" l="1"/>
  <c r="F15" i="25"/>
  <c r="D16" i="25"/>
  <c r="G16" i="25"/>
  <c r="G40" i="25" s="1"/>
  <c r="H16" i="25"/>
  <c r="H40" i="25" s="1"/>
  <c r="I16" i="25"/>
  <c r="I40" i="25" s="1"/>
  <c r="J16" i="25"/>
  <c r="K16" i="25"/>
  <c r="L16" i="25"/>
  <c r="M16" i="25"/>
  <c r="M40" i="25" s="1"/>
  <c r="N16" i="25"/>
  <c r="D22" i="25"/>
  <c r="L40" i="25" l="1"/>
  <c r="J40" i="25"/>
  <c r="K40" i="25"/>
  <c r="C44" i="2"/>
  <c r="F16" i="25"/>
  <c r="D40" i="25"/>
  <c r="F40" i="25" l="1"/>
  <c r="F44" i="25" l="1"/>
  <c r="M67" i="40"/>
  <c r="L67" i="40"/>
  <c r="K67" i="40"/>
  <c r="J67" i="40"/>
  <c r="I67" i="40"/>
  <c r="H67" i="40"/>
  <c r="G67" i="40"/>
  <c r="F67" i="40"/>
  <c r="M51" i="40"/>
  <c r="L51" i="40"/>
  <c r="K51" i="40"/>
  <c r="J51" i="40"/>
  <c r="I51" i="40"/>
  <c r="H51" i="40"/>
  <c r="G51" i="40"/>
  <c r="F51" i="40"/>
  <c r="D51" i="40"/>
  <c r="M34" i="39"/>
  <c r="L34" i="39"/>
  <c r="K34" i="39"/>
  <c r="J34" i="39"/>
  <c r="I34" i="39"/>
  <c r="H34" i="39"/>
  <c r="G34" i="39"/>
  <c r="F34" i="39"/>
  <c r="E34" i="39"/>
  <c r="D18" i="39"/>
  <c r="M11" i="39"/>
  <c r="L11" i="39"/>
  <c r="K11" i="39"/>
  <c r="J11" i="39"/>
  <c r="I11" i="39"/>
  <c r="H11" i="39"/>
  <c r="G11" i="39"/>
  <c r="E11" i="39"/>
  <c r="D11" i="39"/>
  <c r="F10" i="39"/>
  <c r="F9" i="39"/>
  <c r="F8" i="39"/>
  <c r="E36" i="39" l="1"/>
  <c r="B57" i="39" s="1"/>
  <c r="I36" i="39"/>
  <c r="G56" i="2" s="1"/>
  <c r="M36" i="39"/>
  <c r="J36" i="39"/>
  <c r="G36" i="39"/>
  <c r="E56" i="2" s="1"/>
  <c r="K36" i="39"/>
  <c r="I56" i="2" s="1"/>
  <c r="H36" i="39"/>
  <c r="L36" i="39"/>
  <c r="J56" i="2" s="1"/>
  <c r="E69" i="40"/>
  <c r="B81" i="40" s="1"/>
  <c r="M69" i="40"/>
  <c r="J69" i="40"/>
  <c r="H54" i="2" s="1"/>
  <c r="I69" i="40"/>
  <c r="G54" i="2" s="1"/>
  <c r="G69" i="40"/>
  <c r="K69" i="40"/>
  <c r="I54" i="2" s="1"/>
  <c r="H69" i="40"/>
  <c r="L69" i="40"/>
  <c r="F11" i="39"/>
  <c r="F36" i="39" s="1"/>
  <c r="B58" i="39" s="1"/>
  <c r="B59" i="39" s="1"/>
  <c r="B60" i="39" s="1"/>
  <c r="D36" i="39"/>
  <c r="F69" i="40"/>
  <c r="B82" i="40" s="1"/>
  <c r="D69" i="40"/>
  <c r="B83" i="40" l="1"/>
  <c r="B84" i="40" s="1"/>
  <c r="F40" i="39"/>
  <c r="L40" i="39" s="1"/>
  <c r="C56" i="2"/>
  <c r="F73" i="40"/>
  <c r="J73" i="40" s="1"/>
  <c r="H56" i="2"/>
  <c r="E54" i="2"/>
  <c r="M73" i="40" l="1"/>
  <c r="M74" i="40" s="1"/>
  <c r="F54" i="2" s="1"/>
  <c r="K73" i="40"/>
  <c r="I55" i="2" s="1"/>
  <c r="I73" i="40"/>
  <c r="I74" i="40" s="1"/>
  <c r="G73" i="40"/>
  <c r="E55" i="2" s="1"/>
  <c r="H73" i="40"/>
  <c r="H74" i="40" s="1"/>
  <c r="L73" i="40"/>
  <c r="L74" i="40" s="1"/>
  <c r="K40" i="39"/>
  <c r="I57" i="2" s="1"/>
  <c r="H40" i="39"/>
  <c r="H41" i="39" s="1"/>
  <c r="G40" i="39"/>
  <c r="E57" i="2" s="1"/>
  <c r="J40" i="39"/>
  <c r="J41" i="39" s="1"/>
  <c r="I40" i="39"/>
  <c r="G57" i="2" s="1"/>
  <c r="M40" i="39"/>
  <c r="J57" i="2"/>
  <c r="L41" i="39"/>
  <c r="J74" i="40"/>
  <c r="H55" i="2"/>
  <c r="K74" i="40" l="1"/>
  <c r="K41" i="39"/>
  <c r="F55" i="2"/>
  <c r="G74" i="40"/>
  <c r="G55" i="2"/>
  <c r="F70" i="40"/>
  <c r="D54" i="2" s="1"/>
  <c r="J55" i="2"/>
  <c r="H57" i="2"/>
  <c r="I41" i="39"/>
  <c r="M41" i="39"/>
  <c r="F56" i="2" s="1"/>
  <c r="K56" i="2" s="1"/>
  <c r="L56" i="2" s="1"/>
  <c r="G41" i="39"/>
  <c r="F57" i="2"/>
  <c r="F37" i="39"/>
  <c r="D56" i="2" s="1"/>
  <c r="J210" i="1"/>
  <c r="K57" i="2" l="1"/>
  <c r="M38" i="38"/>
  <c r="L38" i="38"/>
  <c r="K38" i="38"/>
  <c r="J38" i="38"/>
  <c r="I38" i="38"/>
  <c r="H38" i="38"/>
  <c r="G38" i="38"/>
  <c r="F38" i="38"/>
  <c r="M22" i="38"/>
  <c r="L22" i="38"/>
  <c r="K22" i="38"/>
  <c r="J22" i="38"/>
  <c r="I22" i="38"/>
  <c r="H22" i="38"/>
  <c r="G22" i="38"/>
  <c r="F22" i="38"/>
  <c r="D22" i="38"/>
  <c r="M16" i="38"/>
  <c r="L16" i="38"/>
  <c r="K16" i="38"/>
  <c r="J16" i="38"/>
  <c r="I16" i="38"/>
  <c r="H16" i="38"/>
  <c r="G16" i="38"/>
  <c r="D16" i="38"/>
  <c r="F15" i="38"/>
  <c r="F14" i="38"/>
  <c r="F13" i="38"/>
  <c r="D40" i="38" l="1"/>
  <c r="L40" i="38"/>
  <c r="J39" i="2" s="1"/>
  <c r="J40" i="38"/>
  <c r="H39" i="2" s="1"/>
  <c r="I40" i="38"/>
  <c r="G39" i="2" s="1"/>
  <c r="H40" i="38"/>
  <c r="F39" i="2" s="1"/>
  <c r="C39" i="2"/>
  <c r="G40" i="38"/>
  <c r="E39" i="2" s="1"/>
  <c r="K40" i="38"/>
  <c r="I39" i="2" s="1"/>
  <c r="F16" i="38"/>
  <c r="F40" i="38" s="1"/>
  <c r="B54" i="38" s="1"/>
  <c r="B55" i="38" s="1"/>
  <c r="B56" i="38" s="1"/>
  <c r="M40" i="38"/>
  <c r="M22" i="37"/>
  <c r="L22" i="37"/>
  <c r="K22" i="37"/>
  <c r="J22" i="37"/>
  <c r="I22" i="37"/>
  <c r="H22" i="37"/>
  <c r="G22" i="37"/>
  <c r="F22" i="37"/>
  <c r="E22" i="37"/>
  <c r="D22" i="37"/>
  <c r="M16" i="37"/>
  <c r="L16" i="37"/>
  <c r="K16" i="37"/>
  <c r="J16" i="37"/>
  <c r="I16" i="37"/>
  <c r="H16" i="37"/>
  <c r="G16" i="37"/>
  <c r="E16" i="37"/>
  <c r="D16" i="37"/>
  <c r="F15" i="37"/>
  <c r="F14" i="37"/>
  <c r="F13" i="37"/>
  <c r="F12" i="37"/>
  <c r="F11" i="37"/>
  <c r="D39" i="2" l="1"/>
  <c r="E40" i="37"/>
  <c r="B64" i="37" s="1"/>
  <c r="K39" i="2"/>
  <c r="G40" i="37"/>
  <c r="E48" i="2" s="1"/>
  <c r="K40" i="37"/>
  <c r="I48" i="2" s="1"/>
  <c r="H40" i="37"/>
  <c r="F48" i="2" s="1"/>
  <c r="L40" i="37"/>
  <c r="J48" i="2" s="1"/>
  <c r="J40" i="37"/>
  <c r="H48" i="2" s="1"/>
  <c r="I40" i="37"/>
  <c r="G48" i="2" s="1"/>
  <c r="M40" i="37"/>
  <c r="D40" i="37"/>
  <c r="F16" i="37"/>
  <c r="F40" i="37" s="1"/>
  <c r="B65" i="37" s="1"/>
  <c r="B66" i="37" l="1"/>
  <c r="B67" i="37" s="1"/>
  <c r="C48" i="2"/>
  <c r="F44" i="37"/>
  <c r="H44" i="37" s="1"/>
  <c r="D48" i="2"/>
  <c r="M33" i="36"/>
  <c r="L33" i="36"/>
  <c r="K33" i="36"/>
  <c r="J33" i="36"/>
  <c r="I33" i="36"/>
  <c r="H33" i="36"/>
  <c r="G33" i="36"/>
  <c r="F33" i="36"/>
  <c r="M17" i="36"/>
  <c r="L17" i="36"/>
  <c r="K17" i="36"/>
  <c r="J17" i="36"/>
  <c r="I17" i="36"/>
  <c r="H17" i="36"/>
  <c r="G17" i="36"/>
  <c r="F17" i="36"/>
  <c r="D17" i="36"/>
  <c r="M12" i="36"/>
  <c r="L12" i="36"/>
  <c r="K12" i="36"/>
  <c r="J12" i="36"/>
  <c r="I12" i="36"/>
  <c r="H12" i="36"/>
  <c r="G12" i="36"/>
  <c r="D12" i="36"/>
  <c r="F12" i="36"/>
  <c r="I44" i="37" l="1"/>
  <c r="I54" i="37" s="1"/>
  <c r="I57" i="37" s="1"/>
  <c r="G44" i="37"/>
  <c r="L44" i="37"/>
  <c r="L45" i="37" s="1"/>
  <c r="K44" i="37"/>
  <c r="J44" i="37"/>
  <c r="J54" i="37" s="1"/>
  <c r="J57" i="37" s="1"/>
  <c r="J58" i="37" s="1"/>
  <c r="M44" i="37"/>
  <c r="M45" i="37" s="1"/>
  <c r="F49" i="2"/>
  <c r="H54" i="37"/>
  <c r="D35" i="36"/>
  <c r="F35" i="36"/>
  <c r="B43" i="36" s="1"/>
  <c r="B44" i="36" s="1"/>
  <c r="B45" i="36" s="1"/>
  <c r="G35" i="36"/>
  <c r="E8" i="2" s="1"/>
  <c r="K35" i="36"/>
  <c r="I8" i="2" s="1"/>
  <c r="H35" i="36"/>
  <c r="F8" i="2" s="1"/>
  <c r="L35" i="36"/>
  <c r="J8" i="2" s="1"/>
  <c r="J35" i="36"/>
  <c r="H8" i="2" s="1"/>
  <c r="C8" i="2"/>
  <c r="I35" i="36"/>
  <c r="G8" i="2" s="1"/>
  <c r="M35" i="36"/>
  <c r="J14" i="3"/>
  <c r="J10" i="3"/>
  <c r="J2" i="3"/>
  <c r="G54" i="37" l="1"/>
  <c r="H57" i="37"/>
  <c r="H58" i="37" s="1"/>
  <c r="I58" i="37"/>
  <c r="H49" i="2"/>
  <c r="D8" i="2"/>
  <c r="K8" i="2"/>
  <c r="K45" i="37"/>
  <c r="I49" i="2"/>
  <c r="J45" i="37"/>
  <c r="H45" i="37"/>
  <c r="G45" i="37"/>
  <c r="E49" i="2"/>
  <c r="I45" i="37"/>
  <c r="G49" i="2"/>
  <c r="L8" i="2" l="1"/>
  <c r="G57" i="37"/>
  <c r="G58" i="37" s="1"/>
  <c r="I2" i="3"/>
  <c r="I10" i="3"/>
  <c r="I14" i="3"/>
  <c r="M38" i="34" l="1"/>
  <c r="L38" i="34"/>
  <c r="K38" i="34"/>
  <c r="J38" i="34"/>
  <c r="I38" i="34"/>
  <c r="H38" i="34"/>
  <c r="G38" i="34"/>
  <c r="M22" i="34"/>
  <c r="L22" i="34"/>
  <c r="K22" i="34"/>
  <c r="J22" i="34"/>
  <c r="I22" i="34"/>
  <c r="H22" i="34"/>
  <c r="G22" i="34"/>
  <c r="F22" i="34"/>
  <c r="D22" i="34"/>
  <c r="M16" i="34"/>
  <c r="L16" i="34"/>
  <c r="K16" i="34"/>
  <c r="J16" i="34"/>
  <c r="I16" i="34"/>
  <c r="H16" i="34"/>
  <c r="G16" i="34"/>
  <c r="D16" i="34"/>
  <c r="F15" i="34"/>
  <c r="F14" i="34"/>
  <c r="F13" i="34"/>
  <c r="F12" i="34"/>
  <c r="F11" i="34"/>
  <c r="F10" i="34"/>
  <c r="F9" i="34"/>
  <c r="F8" i="34"/>
  <c r="F7" i="34"/>
  <c r="F38" i="34" l="1"/>
  <c r="D40" i="34"/>
  <c r="I40" i="34"/>
  <c r="G26" i="104" s="1"/>
  <c r="M40" i="34"/>
  <c r="L40" i="34"/>
  <c r="J26" i="104" s="1"/>
  <c r="J40" i="34"/>
  <c r="H26" i="104" s="1"/>
  <c r="H40" i="34"/>
  <c r="F26" i="104" s="1"/>
  <c r="G40" i="34"/>
  <c r="E26" i="104" s="1"/>
  <c r="K40" i="34"/>
  <c r="I26" i="104" s="1"/>
  <c r="F16" i="34"/>
  <c r="K26" i="104" l="1"/>
  <c r="L26" i="104" s="1"/>
  <c r="F40" i="34"/>
  <c r="D26" i="104" l="1"/>
  <c r="I51" i="2"/>
  <c r="I44" i="2"/>
  <c r="G44" i="2"/>
  <c r="D55" i="2"/>
  <c r="D51" i="2"/>
  <c r="K49" i="2"/>
  <c r="D47" i="2"/>
  <c r="I45" i="2"/>
  <c r="D45" i="2"/>
  <c r="F22" i="33" l="1"/>
  <c r="M38" i="33"/>
  <c r="L38" i="33"/>
  <c r="K38" i="33"/>
  <c r="J38" i="33"/>
  <c r="I38" i="33"/>
  <c r="H38" i="33"/>
  <c r="G38" i="33"/>
  <c r="F38" i="33"/>
  <c r="E38" i="33"/>
  <c r="M22" i="33"/>
  <c r="L22" i="33"/>
  <c r="K22" i="33"/>
  <c r="J22" i="33"/>
  <c r="I22" i="33"/>
  <c r="H22" i="33"/>
  <c r="G22" i="33"/>
  <c r="D22" i="33"/>
  <c r="M16" i="33"/>
  <c r="L16" i="33"/>
  <c r="K16" i="33"/>
  <c r="J16" i="33"/>
  <c r="I16" i="33"/>
  <c r="H16" i="33"/>
  <c r="G16" i="33"/>
  <c r="E16" i="33"/>
  <c r="D16" i="33"/>
  <c r="F15" i="33"/>
  <c r="F14" i="33"/>
  <c r="F13" i="33"/>
  <c r="F12" i="33"/>
  <c r="F11" i="33"/>
  <c r="F10" i="33"/>
  <c r="F9" i="33"/>
  <c r="F8" i="33"/>
  <c r="M38" i="32"/>
  <c r="L38" i="32"/>
  <c r="K38" i="32"/>
  <c r="J38" i="32"/>
  <c r="I38" i="32"/>
  <c r="H38" i="32"/>
  <c r="G38" i="32"/>
  <c r="F38" i="32"/>
  <c r="E38" i="32"/>
  <c r="M22" i="32"/>
  <c r="L22" i="32"/>
  <c r="K22" i="32"/>
  <c r="J22" i="32"/>
  <c r="I22" i="32"/>
  <c r="H22" i="32"/>
  <c r="G22" i="32"/>
  <c r="F22" i="32"/>
  <c r="E22" i="32"/>
  <c r="D22" i="32"/>
  <c r="M16" i="32"/>
  <c r="L16" i="32"/>
  <c r="K16" i="32"/>
  <c r="J16" i="32"/>
  <c r="I16" i="32"/>
  <c r="H16" i="32"/>
  <c r="G16" i="32"/>
  <c r="E16" i="32"/>
  <c r="D16" i="32"/>
  <c r="F15" i="32"/>
  <c r="F14" i="32"/>
  <c r="F13" i="32"/>
  <c r="F12" i="32"/>
  <c r="D40" i="32" l="1"/>
  <c r="G40" i="33"/>
  <c r="E31" i="104" s="1"/>
  <c r="K40" i="33"/>
  <c r="I31" i="104" s="1"/>
  <c r="H40" i="32"/>
  <c r="F25" i="104" s="1"/>
  <c r="E40" i="32"/>
  <c r="B47" i="32" s="1"/>
  <c r="I40" i="32"/>
  <c r="G25" i="104" s="1"/>
  <c r="M40" i="32"/>
  <c r="D40" i="33"/>
  <c r="H40" i="33"/>
  <c r="F31" i="104" s="1"/>
  <c r="L40" i="33"/>
  <c r="J31" i="104" s="1"/>
  <c r="J40" i="32"/>
  <c r="H25" i="104" s="1"/>
  <c r="E40" i="33"/>
  <c r="B47" i="33" s="1"/>
  <c r="I40" i="33"/>
  <c r="G31" i="104" s="1"/>
  <c r="M40" i="33"/>
  <c r="L40" i="32"/>
  <c r="G40" i="32"/>
  <c r="E25" i="104" s="1"/>
  <c r="K40" i="32"/>
  <c r="I25" i="104" s="1"/>
  <c r="J40" i="33"/>
  <c r="H31" i="104" s="1"/>
  <c r="F16" i="32"/>
  <c r="F40" i="32" s="1"/>
  <c r="B48" i="32" s="1"/>
  <c r="F16" i="33"/>
  <c r="B49" i="32" l="1"/>
  <c r="B50" i="32" s="1"/>
  <c r="C31" i="104"/>
  <c r="D25" i="104"/>
  <c r="C25" i="104"/>
  <c r="K25" i="104"/>
  <c r="L25" i="104" s="1"/>
  <c r="K31" i="104"/>
  <c r="L31" i="104" s="1"/>
  <c r="F40" i="33"/>
  <c r="B48" i="33" s="1"/>
  <c r="B49" i="33" s="1"/>
  <c r="B50" i="33" s="1"/>
  <c r="M39" i="31"/>
  <c r="L39" i="31"/>
  <c r="K39" i="31"/>
  <c r="J39" i="31"/>
  <c r="I39" i="31"/>
  <c r="H39" i="31"/>
  <c r="G39" i="31"/>
  <c r="F39" i="31"/>
  <c r="D22" i="31"/>
  <c r="D16" i="31"/>
  <c r="M31" i="104" l="1"/>
  <c r="M25" i="104"/>
  <c r="D31" i="104"/>
  <c r="M41" i="31"/>
  <c r="J41" i="31"/>
  <c r="I41" i="31"/>
  <c r="D41" i="31"/>
  <c r="G41" i="31"/>
  <c r="K41" i="31"/>
  <c r="H41" i="31"/>
  <c r="L41" i="31"/>
  <c r="F16" i="31"/>
  <c r="F41" i="31" s="1"/>
  <c r="B55" i="31" s="1"/>
  <c r="B56" i="31" s="1"/>
  <c r="B57" i="31" s="1"/>
  <c r="K48" i="2"/>
  <c r="L48" i="2" l="1"/>
  <c r="G51" i="2"/>
  <c r="E51" i="2"/>
  <c r="H51" i="2" l="1"/>
  <c r="F51" i="2"/>
  <c r="K51" i="2" l="1"/>
  <c r="F53" i="21"/>
  <c r="M46" i="21"/>
  <c r="M48" i="21"/>
  <c r="D50" i="2" l="1"/>
  <c r="M45" i="21"/>
  <c r="M40" i="29" l="1"/>
  <c r="L40" i="29"/>
  <c r="K40" i="29"/>
  <c r="J40" i="29"/>
  <c r="I40" i="29"/>
  <c r="H40" i="29"/>
  <c r="G40" i="29"/>
  <c r="F40" i="29"/>
  <c r="E40" i="29"/>
  <c r="D24" i="29"/>
  <c r="N16" i="29"/>
  <c r="M16" i="29"/>
  <c r="L16" i="29"/>
  <c r="K16" i="29"/>
  <c r="J16" i="29"/>
  <c r="I16" i="29"/>
  <c r="H16" i="29"/>
  <c r="G16" i="29"/>
  <c r="E16" i="29"/>
  <c r="D16" i="29"/>
  <c r="F15" i="29"/>
  <c r="F14" i="29"/>
  <c r="F13" i="29"/>
  <c r="F12" i="29"/>
  <c r="F11" i="29"/>
  <c r="F10" i="29"/>
  <c r="F9" i="29"/>
  <c r="F8" i="29"/>
  <c r="F7" i="29"/>
  <c r="E42" i="29" l="1"/>
  <c r="B55" i="29" s="1"/>
  <c r="J42" i="29"/>
  <c r="I42" i="29"/>
  <c r="G42" i="29"/>
  <c r="K42" i="29"/>
  <c r="M42" i="29"/>
  <c r="B47" i="29" s="1"/>
  <c r="H42" i="29"/>
  <c r="L42" i="29"/>
  <c r="D42" i="29"/>
  <c r="F16" i="29"/>
  <c r="F42" i="29" s="1"/>
  <c r="B56" i="29" s="1"/>
  <c r="H23" i="28"/>
  <c r="H29" i="28"/>
  <c r="B57" i="29" l="1"/>
  <c r="B58" i="29" s="1"/>
  <c r="F43" i="29"/>
  <c r="D8" i="104" s="1"/>
  <c r="E43" i="29"/>
  <c r="C8" i="104" s="1"/>
  <c r="J8" i="104"/>
  <c r="G8" i="104"/>
  <c r="I8" i="104"/>
  <c r="H8" i="104"/>
  <c r="E8" i="104"/>
  <c r="M37" i="22"/>
  <c r="L37" i="22"/>
  <c r="K37" i="22"/>
  <c r="J37" i="22"/>
  <c r="I37" i="22"/>
  <c r="H37" i="22"/>
  <c r="G37" i="22"/>
  <c r="F37" i="22"/>
  <c r="M22" i="22"/>
  <c r="L22" i="22"/>
  <c r="K22" i="22"/>
  <c r="J22" i="22"/>
  <c r="I22" i="22"/>
  <c r="H22" i="22"/>
  <c r="G22" i="22"/>
  <c r="F22" i="22"/>
  <c r="D22" i="22"/>
  <c r="M16" i="22"/>
  <c r="L16" i="22"/>
  <c r="K16" i="22"/>
  <c r="J16" i="22"/>
  <c r="I16" i="22"/>
  <c r="H16" i="22"/>
  <c r="G16" i="22"/>
  <c r="D16" i="22"/>
  <c r="F15" i="22"/>
  <c r="F14" i="22"/>
  <c r="F13" i="22"/>
  <c r="F12" i="22"/>
  <c r="F11" i="22"/>
  <c r="M37" i="21"/>
  <c r="L37" i="21"/>
  <c r="K37" i="21"/>
  <c r="J37" i="21"/>
  <c r="I37" i="21"/>
  <c r="H37" i="21"/>
  <c r="G37" i="21"/>
  <c r="F37" i="21"/>
  <c r="M22" i="21"/>
  <c r="L22" i="21"/>
  <c r="K22" i="21"/>
  <c r="J22" i="21"/>
  <c r="I22" i="21"/>
  <c r="H22" i="21"/>
  <c r="G22" i="21"/>
  <c r="F22" i="21"/>
  <c r="D22" i="21"/>
  <c r="M15" i="21"/>
  <c r="L15" i="21"/>
  <c r="K15" i="21"/>
  <c r="J15" i="21"/>
  <c r="I15" i="21"/>
  <c r="H15" i="21"/>
  <c r="G15" i="21"/>
  <c r="D15" i="21"/>
  <c r="E39" i="21" l="1"/>
  <c r="B61" i="21" s="1"/>
  <c r="I39" i="21"/>
  <c r="G50" i="2" s="1"/>
  <c r="J39" i="21"/>
  <c r="H50" i="2" s="1"/>
  <c r="E39" i="22"/>
  <c r="B54" i="22" s="1"/>
  <c r="G39" i="21"/>
  <c r="K39" i="21"/>
  <c r="I50" i="2" s="1"/>
  <c r="M39" i="21"/>
  <c r="H39" i="21"/>
  <c r="F50" i="2" s="1"/>
  <c r="L39" i="21"/>
  <c r="J50" i="2" s="1"/>
  <c r="H39" i="22"/>
  <c r="F52" i="2" s="1"/>
  <c r="L39" i="22"/>
  <c r="J52" i="2" s="1"/>
  <c r="I39" i="22"/>
  <c r="G52" i="2" s="1"/>
  <c r="M39" i="22"/>
  <c r="D39" i="22"/>
  <c r="J39" i="22"/>
  <c r="H52" i="2" s="1"/>
  <c r="G39" i="22"/>
  <c r="E52" i="2" s="1"/>
  <c r="K39" i="22"/>
  <c r="I52" i="2" s="1"/>
  <c r="D39" i="21"/>
  <c r="F16" i="22"/>
  <c r="F39" i="22" s="1"/>
  <c r="B55" i="22" s="1"/>
  <c r="F15" i="21"/>
  <c r="M44" i="28"/>
  <c r="L44" i="28"/>
  <c r="K44" i="28"/>
  <c r="J44" i="28"/>
  <c r="I44" i="28"/>
  <c r="H44" i="28"/>
  <c r="H46" i="28" s="1"/>
  <c r="G44" i="28"/>
  <c r="F44" i="28"/>
  <c r="M29" i="28"/>
  <c r="L29" i="28"/>
  <c r="K29" i="28"/>
  <c r="J29" i="28"/>
  <c r="I29" i="28"/>
  <c r="G29" i="28"/>
  <c r="F29" i="28"/>
  <c r="D29" i="28"/>
  <c r="M23" i="28"/>
  <c r="L23" i="28"/>
  <c r="K23" i="28"/>
  <c r="J23" i="28"/>
  <c r="I23" i="28"/>
  <c r="G23" i="28"/>
  <c r="D23" i="28"/>
  <c r="B56" i="22" l="1"/>
  <c r="B57" i="22" s="1"/>
  <c r="F43" i="22"/>
  <c r="C50" i="2"/>
  <c r="C52" i="2"/>
  <c r="E50" i="2"/>
  <c r="G54" i="21"/>
  <c r="K52" i="2"/>
  <c r="L52" i="2" s="1"/>
  <c r="D52" i="2"/>
  <c r="I46" i="28"/>
  <c r="M46" i="28"/>
  <c r="F39" i="21"/>
  <c r="B62" i="21" s="1"/>
  <c r="B63" i="21" s="1"/>
  <c r="B64" i="21" s="1"/>
  <c r="J46" i="28"/>
  <c r="G46" i="28"/>
  <c r="K46" i="28"/>
  <c r="L46" i="28"/>
  <c r="F23" i="28"/>
  <c r="F46" i="28" s="1"/>
  <c r="B79" i="28" s="1"/>
  <c r="B80" i="28" s="1"/>
  <c r="B81" i="28" s="1"/>
  <c r="D46" i="28"/>
  <c r="L44" i="22"/>
  <c r="L54" i="21"/>
  <c r="M43" i="21"/>
  <c r="M53" i="21" s="1"/>
  <c r="M39" i="27"/>
  <c r="L39" i="27"/>
  <c r="K39" i="27"/>
  <c r="J39" i="27"/>
  <c r="I39" i="27"/>
  <c r="H39" i="27"/>
  <c r="G39" i="27"/>
  <c r="F39" i="27"/>
  <c r="E39" i="27"/>
  <c r="M22" i="27"/>
  <c r="L22" i="27"/>
  <c r="K22" i="27"/>
  <c r="J22" i="27"/>
  <c r="I22" i="27"/>
  <c r="H22" i="27"/>
  <c r="G22" i="27"/>
  <c r="F22" i="27"/>
  <c r="D22" i="27"/>
  <c r="M16" i="27"/>
  <c r="L16" i="27"/>
  <c r="K16" i="27"/>
  <c r="J16" i="27"/>
  <c r="I16" i="27"/>
  <c r="H16" i="27"/>
  <c r="G16" i="27"/>
  <c r="D16" i="27"/>
  <c r="F15" i="27"/>
  <c r="F14" i="27"/>
  <c r="F13" i="27"/>
  <c r="F12" i="27"/>
  <c r="F11" i="27"/>
  <c r="F10" i="27"/>
  <c r="F9" i="27"/>
  <c r="F8" i="27"/>
  <c r="J47" i="22" l="1"/>
  <c r="I47" i="22"/>
  <c r="G47" i="22"/>
  <c r="M54" i="21"/>
  <c r="F50" i="28"/>
  <c r="H50" i="28" s="1"/>
  <c r="G41" i="27"/>
  <c r="E16" i="104" s="1"/>
  <c r="K41" i="27"/>
  <c r="I16" i="104" s="1"/>
  <c r="H41" i="27"/>
  <c r="F16" i="104" s="1"/>
  <c r="L41" i="27"/>
  <c r="J16" i="104" s="1"/>
  <c r="E41" i="27"/>
  <c r="B48" i="27" s="1"/>
  <c r="B50" i="27" s="1"/>
  <c r="B51" i="27" s="1"/>
  <c r="I41" i="27"/>
  <c r="G16" i="104" s="1"/>
  <c r="M41" i="27"/>
  <c r="J41" i="27"/>
  <c r="H16" i="104" s="1"/>
  <c r="M44" i="22"/>
  <c r="D41" i="27"/>
  <c r="J44" i="22"/>
  <c r="I44" i="22"/>
  <c r="G44" i="22"/>
  <c r="K44" i="22"/>
  <c r="K54" i="2"/>
  <c r="L54" i="2" s="1"/>
  <c r="F16" i="27"/>
  <c r="F41" i="27" s="1"/>
  <c r="J54" i="21"/>
  <c r="H54" i="21"/>
  <c r="K54" i="21"/>
  <c r="C16" i="104" l="1"/>
  <c r="D16" i="104"/>
  <c r="K16" i="104"/>
  <c r="L16" i="104" s="1"/>
  <c r="L50" i="28"/>
  <c r="G50" i="28"/>
  <c r="I50" i="28"/>
  <c r="J50" i="28"/>
  <c r="M50" i="28"/>
  <c r="K50" i="28"/>
  <c r="H44" i="22"/>
  <c r="K55" i="2"/>
  <c r="M37" i="26"/>
  <c r="L37" i="26"/>
  <c r="K37" i="26"/>
  <c r="J37" i="26"/>
  <c r="I37" i="26"/>
  <c r="H37" i="26"/>
  <c r="G37" i="26"/>
  <c r="F37" i="26"/>
  <c r="E37" i="26"/>
  <c r="M22" i="26"/>
  <c r="L22" i="26"/>
  <c r="K22" i="26"/>
  <c r="J22" i="26"/>
  <c r="I22" i="26"/>
  <c r="H22" i="26"/>
  <c r="G22" i="26"/>
  <c r="F22" i="26"/>
  <c r="E22" i="26"/>
  <c r="D22" i="26"/>
  <c r="M16" i="26"/>
  <c r="L16" i="26"/>
  <c r="K16" i="26"/>
  <c r="J16" i="26"/>
  <c r="I16" i="26"/>
  <c r="H16" i="26"/>
  <c r="G16" i="26"/>
  <c r="E16" i="26"/>
  <c r="D16" i="26"/>
  <c r="F15" i="26"/>
  <c r="F14" i="26"/>
  <c r="F13" i="26"/>
  <c r="F12" i="26"/>
  <c r="F11" i="26"/>
  <c r="F10" i="26"/>
  <c r="F9" i="26"/>
  <c r="F8" i="26"/>
  <c r="F7" i="26"/>
  <c r="H61" i="28" l="1"/>
  <c r="J39" i="26"/>
  <c r="J44" i="26" s="1"/>
  <c r="D39" i="26"/>
  <c r="G39" i="26"/>
  <c r="E58" i="2" s="1"/>
  <c r="K39" i="26"/>
  <c r="H39" i="26"/>
  <c r="F58" i="2" s="1"/>
  <c r="L39" i="26"/>
  <c r="E39" i="26"/>
  <c r="B51" i="26" s="1"/>
  <c r="I39" i="26"/>
  <c r="I44" i="26" s="1"/>
  <c r="M39" i="26"/>
  <c r="I51" i="28"/>
  <c r="M51" i="28"/>
  <c r="G51" i="28"/>
  <c r="J51" i="28"/>
  <c r="L51" i="28"/>
  <c r="K51" i="28"/>
  <c r="H51" i="28"/>
  <c r="F16" i="26"/>
  <c r="F39" i="26" s="1"/>
  <c r="B52" i="26" s="1"/>
  <c r="E44" i="2"/>
  <c r="K59" i="28" l="1"/>
  <c r="K58" i="28"/>
  <c r="G61" i="28"/>
  <c r="B53" i="26"/>
  <c r="B54" i="26" s="1"/>
  <c r="C58" i="2"/>
  <c r="C62" i="2" s="1"/>
  <c r="J61" i="28"/>
  <c r="D58" i="2"/>
  <c r="I61" i="28"/>
  <c r="G58" i="2"/>
  <c r="H58" i="2"/>
  <c r="F43" i="26"/>
  <c r="F44" i="2"/>
  <c r="M43" i="26" l="1"/>
  <c r="M44" i="26" s="1"/>
  <c r="G42" i="26"/>
  <c r="I42" i="26"/>
  <c r="J42" i="26"/>
  <c r="D65" i="2"/>
  <c r="F65" i="2"/>
  <c r="F69" i="2" s="1"/>
  <c r="F46" i="2"/>
  <c r="K61" i="28"/>
  <c r="D46" i="2"/>
  <c r="K58" i="2"/>
  <c r="L58" i="2" s="1"/>
  <c r="E59" i="2"/>
  <c r="H43" i="26"/>
  <c r="F59" i="2" s="1"/>
  <c r="K43" i="26"/>
  <c r="L43" i="26"/>
  <c r="D44" i="2"/>
  <c r="H44" i="2"/>
  <c r="D62" i="2" l="1"/>
  <c r="E92" i="1"/>
  <c r="F70" i="2"/>
  <c r="G44" i="26"/>
  <c r="L44" i="26"/>
  <c r="J59" i="2"/>
  <c r="J62" i="2" s="1"/>
  <c r="J63" i="2" s="1"/>
  <c r="K44" i="26"/>
  <c r="I59" i="2"/>
  <c r="H44" i="26"/>
  <c r="J44" i="25"/>
  <c r="M44" i="25"/>
  <c r="K44" i="25"/>
  <c r="H44" i="25"/>
  <c r="F45" i="2" s="1"/>
  <c r="F62" i="2" s="1"/>
  <c r="F63" i="2" s="1"/>
  <c r="L44" i="25"/>
  <c r="I44" i="25"/>
  <c r="G44" i="25"/>
  <c r="M35" i="18"/>
  <c r="L35" i="18"/>
  <c r="K35" i="18"/>
  <c r="J35" i="18"/>
  <c r="I35" i="18"/>
  <c r="H35" i="18"/>
  <c r="G35" i="18"/>
  <c r="F35" i="18"/>
  <c r="M19" i="18"/>
  <c r="L19" i="18"/>
  <c r="K19" i="18"/>
  <c r="J19" i="18"/>
  <c r="I19" i="18"/>
  <c r="H19" i="18"/>
  <c r="G19" i="18"/>
  <c r="F19" i="18"/>
  <c r="D19" i="18"/>
  <c r="M12" i="18"/>
  <c r="L12" i="18"/>
  <c r="K12" i="18"/>
  <c r="J12" i="18"/>
  <c r="I12" i="18"/>
  <c r="H12" i="18"/>
  <c r="G12" i="18"/>
  <c r="D12" i="18"/>
  <c r="F11" i="18"/>
  <c r="F10" i="18"/>
  <c r="F9" i="18"/>
  <c r="F8" i="18"/>
  <c r="F7" i="18"/>
  <c r="I19" i="1" l="1"/>
  <c r="G37" i="18"/>
  <c r="E27" i="2" s="1"/>
  <c r="K37" i="18"/>
  <c r="I27" i="2" s="1"/>
  <c r="H37" i="18"/>
  <c r="F27" i="2" s="1"/>
  <c r="L37" i="18"/>
  <c r="J27" i="2" s="1"/>
  <c r="J37" i="18"/>
  <c r="H27" i="2" s="1"/>
  <c r="C27" i="2"/>
  <c r="I37" i="18"/>
  <c r="G27" i="2" s="1"/>
  <c r="M37" i="18"/>
  <c r="M45" i="25"/>
  <c r="L45" i="25"/>
  <c r="K45" i="25"/>
  <c r="K59" i="2"/>
  <c r="D37" i="18"/>
  <c r="F12" i="18"/>
  <c r="F37" i="18" s="1"/>
  <c r="B45" i="18" s="1"/>
  <c r="B46" i="18" s="1"/>
  <c r="B47" i="18" s="1"/>
  <c r="H45" i="25"/>
  <c r="G45" i="2"/>
  <c r="I45" i="25"/>
  <c r="H45" i="2"/>
  <c r="J45" i="25"/>
  <c r="E45" i="2"/>
  <c r="G45" i="25"/>
  <c r="M38" i="17"/>
  <c r="L38" i="17"/>
  <c r="K38" i="17"/>
  <c r="J38" i="17"/>
  <c r="I38" i="17"/>
  <c r="H38" i="17"/>
  <c r="G38" i="17"/>
  <c r="F38" i="17"/>
  <c r="E38" i="17"/>
  <c r="M22" i="17"/>
  <c r="L22" i="17"/>
  <c r="K22" i="17"/>
  <c r="J22" i="17"/>
  <c r="I22" i="17"/>
  <c r="H22" i="17"/>
  <c r="G22" i="17"/>
  <c r="F22" i="17"/>
  <c r="E22" i="17"/>
  <c r="D22" i="17"/>
  <c r="N16" i="17"/>
  <c r="M16" i="17"/>
  <c r="L16" i="17"/>
  <c r="K16" i="17"/>
  <c r="J16" i="17"/>
  <c r="I16" i="17"/>
  <c r="H16" i="17"/>
  <c r="G16" i="17"/>
  <c r="E16" i="17"/>
  <c r="D16" i="17"/>
  <c r="F15" i="17"/>
  <c r="F14" i="17"/>
  <c r="F13" i="17"/>
  <c r="F12" i="17"/>
  <c r="F11" i="17"/>
  <c r="F10" i="17"/>
  <c r="F9" i="17"/>
  <c r="F8" i="17"/>
  <c r="F7" i="17"/>
  <c r="D27" i="2" l="1"/>
  <c r="D40" i="17"/>
  <c r="H40" i="17"/>
  <c r="F12" i="104" s="1"/>
  <c r="L40" i="17"/>
  <c r="K40" i="17"/>
  <c r="I12" i="104" s="1"/>
  <c r="E40" i="17"/>
  <c r="B47" i="17" s="1"/>
  <c r="B49" i="17" s="1"/>
  <c r="B50" i="17" s="1"/>
  <c r="I40" i="17"/>
  <c r="G12" i="104" s="1"/>
  <c r="M40" i="17"/>
  <c r="G40" i="17"/>
  <c r="E12" i="104" s="1"/>
  <c r="J40" i="17"/>
  <c r="H12" i="104" s="1"/>
  <c r="K27" i="2"/>
  <c r="L27" i="2" s="1"/>
  <c r="F16" i="17"/>
  <c r="F40" i="17" s="1"/>
  <c r="B48" i="17" s="1"/>
  <c r="K45" i="2"/>
  <c r="C12" i="104" l="1"/>
  <c r="D12" i="104"/>
  <c r="K12" i="104"/>
  <c r="L12" i="104" s="1"/>
  <c r="M38" i="16"/>
  <c r="L38" i="16"/>
  <c r="K38" i="16"/>
  <c r="J38" i="16"/>
  <c r="I38" i="16"/>
  <c r="H38" i="16"/>
  <c r="G38" i="16"/>
  <c r="F38" i="16"/>
  <c r="M22" i="16"/>
  <c r="L22" i="16"/>
  <c r="K22" i="16"/>
  <c r="J22" i="16"/>
  <c r="I22" i="16"/>
  <c r="H22" i="16"/>
  <c r="G22" i="16"/>
  <c r="F22" i="16"/>
  <c r="D22" i="16"/>
  <c r="M16" i="16"/>
  <c r="L16" i="16"/>
  <c r="K16" i="16"/>
  <c r="J16" i="16"/>
  <c r="I16" i="16"/>
  <c r="H16" i="16"/>
  <c r="G16" i="16"/>
  <c r="D16" i="16"/>
  <c r="F15" i="16"/>
  <c r="F14" i="16"/>
  <c r="F13" i="16"/>
  <c r="F12" i="16"/>
  <c r="F11" i="16"/>
  <c r="F10" i="16"/>
  <c r="F9" i="16"/>
  <c r="F8" i="16"/>
  <c r="F7" i="16"/>
  <c r="F16" i="16" l="1"/>
  <c r="F40" i="16" s="1"/>
  <c r="B48" i="16" s="1"/>
  <c r="B49" i="16" s="1"/>
  <c r="B50" i="16" s="1"/>
  <c r="H40" i="16"/>
  <c r="F29" i="2" s="1"/>
  <c r="C29" i="2"/>
  <c r="I40" i="16"/>
  <c r="G29" i="2" s="1"/>
  <c r="M40" i="16"/>
  <c r="L40" i="16"/>
  <c r="J40" i="16"/>
  <c r="H29" i="2" s="1"/>
  <c r="D40" i="16"/>
  <c r="G40" i="16"/>
  <c r="E29" i="2" s="1"/>
  <c r="K40" i="16"/>
  <c r="I29" i="2" s="1"/>
  <c r="M38" i="15"/>
  <c r="L38" i="15"/>
  <c r="K38" i="15"/>
  <c r="J38" i="15"/>
  <c r="I38" i="15"/>
  <c r="H38" i="15"/>
  <c r="G38" i="15"/>
  <c r="F38" i="15"/>
  <c r="E38" i="15"/>
  <c r="M22" i="15"/>
  <c r="L22" i="15"/>
  <c r="K22" i="15"/>
  <c r="J22" i="15"/>
  <c r="I22" i="15"/>
  <c r="H22" i="15"/>
  <c r="G22" i="15"/>
  <c r="F22" i="15"/>
  <c r="E22" i="15"/>
  <c r="D22" i="15"/>
  <c r="N16" i="15"/>
  <c r="M16" i="15"/>
  <c r="L16" i="15"/>
  <c r="K16" i="15"/>
  <c r="J16" i="15"/>
  <c r="I16" i="15"/>
  <c r="H16" i="15"/>
  <c r="G16" i="15"/>
  <c r="E16" i="15"/>
  <c r="D16" i="15"/>
  <c r="F15" i="15"/>
  <c r="F14" i="15"/>
  <c r="F13" i="15"/>
  <c r="F12" i="15"/>
  <c r="F11" i="15"/>
  <c r="F10" i="15"/>
  <c r="F9" i="15"/>
  <c r="F8" i="15"/>
  <c r="F7" i="15"/>
  <c r="D29" i="2" l="1"/>
  <c r="E40" i="15"/>
  <c r="I40" i="15"/>
  <c r="G6" i="104" s="1"/>
  <c r="M40" i="15"/>
  <c r="L40" i="15"/>
  <c r="J6" i="104" s="1"/>
  <c r="J40" i="15"/>
  <c r="H6" i="104" s="1"/>
  <c r="H40" i="15"/>
  <c r="F6" i="104" s="1"/>
  <c r="F16" i="15"/>
  <c r="F40" i="15" s="1"/>
  <c r="D40" i="15"/>
  <c r="G40" i="15"/>
  <c r="E6" i="104" s="1"/>
  <c r="K40" i="15"/>
  <c r="I6" i="104" s="1"/>
  <c r="C6" i="104" l="1"/>
  <c r="B47" i="15"/>
  <c r="D6" i="104"/>
  <c r="B48" i="15"/>
  <c r="K6" i="104"/>
  <c r="M38" i="14"/>
  <c r="L38" i="14"/>
  <c r="K38" i="14"/>
  <c r="J38" i="14"/>
  <c r="I38" i="14"/>
  <c r="H38" i="14"/>
  <c r="G38" i="14"/>
  <c r="F38" i="14"/>
  <c r="E38" i="14"/>
  <c r="M22" i="14"/>
  <c r="L22" i="14"/>
  <c r="K22" i="14"/>
  <c r="J22" i="14"/>
  <c r="I22" i="14"/>
  <c r="H22" i="14"/>
  <c r="G22" i="14"/>
  <c r="D22" i="14"/>
  <c r="M16" i="14"/>
  <c r="L16" i="14"/>
  <c r="K16" i="14"/>
  <c r="J16" i="14"/>
  <c r="I16" i="14"/>
  <c r="H16" i="14"/>
  <c r="G16" i="14"/>
  <c r="D16" i="14"/>
  <c r="F14" i="14"/>
  <c r="B49" i="15" l="1"/>
  <c r="B50" i="15" s="1"/>
  <c r="L6" i="104"/>
  <c r="D40" i="14"/>
  <c r="G40" i="14"/>
  <c r="H40" i="14"/>
  <c r="L40" i="14"/>
  <c r="K40" i="14"/>
  <c r="E40" i="14"/>
  <c r="B58" i="14" s="1"/>
  <c r="I40" i="14"/>
  <c r="M40" i="14"/>
  <c r="J40" i="14"/>
  <c r="F16" i="14"/>
  <c r="F40" i="14" s="1"/>
  <c r="B59" i="14" s="1"/>
  <c r="B60" i="14" l="1"/>
  <c r="B61" i="14" s="1"/>
  <c r="E41" i="14"/>
  <c r="F41" i="14"/>
  <c r="M17" i="9"/>
  <c r="L17" i="9"/>
  <c r="K17" i="9"/>
  <c r="J17" i="9"/>
  <c r="I17" i="9"/>
  <c r="H17" i="9"/>
  <c r="G17" i="9"/>
  <c r="F17" i="9"/>
  <c r="D17" i="9"/>
  <c r="M11" i="9"/>
  <c r="L11" i="9"/>
  <c r="K11" i="9"/>
  <c r="J11" i="9"/>
  <c r="I11" i="9"/>
  <c r="H11" i="9"/>
  <c r="G11" i="9"/>
  <c r="D11" i="9"/>
  <c r="M38" i="7"/>
  <c r="L38" i="7"/>
  <c r="J38" i="7"/>
  <c r="I38" i="7"/>
  <c r="H38" i="7"/>
  <c r="G38" i="7"/>
  <c r="F38" i="7"/>
  <c r="D17" i="7"/>
  <c r="M13" i="7"/>
  <c r="M43" i="6"/>
  <c r="L43" i="6"/>
  <c r="K43" i="6"/>
  <c r="J43" i="6"/>
  <c r="I43" i="6"/>
  <c r="H43" i="6"/>
  <c r="G43" i="6"/>
  <c r="E43" i="6"/>
  <c r="D19" i="6"/>
  <c r="M13" i="6"/>
  <c r="L13" i="6"/>
  <c r="K13" i="6"/>
  <c r="J13" i="6"/>
  <c r="I13" i="6"/>
  <c r="H13" i="6"/>
  <c r="G13" i="6"/>
  <c r="D13" i="6"/>
  <c r="F13" i="6"/>
  <c r="M36" i="4"/>
  <c r="L36" i="4"/>
  <c r="K36" i="4"/>
  <c r="J36" i="4"/>
  <c r="I36" i="4"/>
  <c r="H36" i="4"/>
  <c r="G36" i="4"/>
  <c r="F36" i="4"/>
  <c r="M20" i="4"/>
  <c r="L20" i="4"/>
  <c r="K20" i="4"/>
  <c r="J20" i="4"/>
  <c r="I20" i="4"/>
  <c r="H20" i="4"/>
  <c r="G20" i="4"/>
  <c r="F20" i="4"/>
  <c r="D20" i="4"/>
  <c r="M13" i="4"/>
  <c r="L13" i="4"/>
  <c r="K13" i="4"/>
  <c r="J13" i="4"/>
  <c r="I13" i="4"/>
  <c r="H13" i="4"/>
  <c r="G13" i="4"/>
  <c r="D13" i="4"/>
  <c r="F12" i="4"/>
  <c r="F11" i="4"/>
  <c r="F10" i="4"/>
  <c r="F9" i="4"/>
  <c r="F8" i="4"/>
  <c r="F7" i="4"/>
  <c r="F27" i="104" l="1"/>
  <c r="F9" i="104"/>
  <c r="C9" i="104"/>
  <c r="E40" i="7"/>
  <c r="B45" i="7" s="1"/>
  <c r="D38" i="4"/>
  <c r="D37" i="9"/>
  <c r="I37" i="9"/>
  <c r="M37" i="9"/>
  <c r="D40" i="7"/>
  <c r="I40" i="7"/>
  <c r="G15" i="104" s="1"/>
  <c r="M40" i="7"/>
  <c r="G45" i="6"/>
  <c r="E11" i="104" s="1"/>
  <c r="K45" i="6"/>
  <c r="I38" i="4"/>
  <c r="G5" i="2" s="1"/>
  <c r="M38" i="4"/>
  <c r="C5" i="2"/>
  <c r="G32" i="104"/>
  <c r="J38" i="4"/>
  <c r="H5" i="2" s="1"/>
  <c r="H45" i="6"/>
  <c r="F11" i="104" s="1"/>
  <c r="L45" i="6"/>
  <c r="F40" i="7"/>
  <c r="B46" i="7" s="1"/>
  <c r="J40" i="7"/>
  <c r="H15" i="104" s="1"/>
  <c r="J37" i="9"/>
  <c r="H30" i="104"/>
  <c r="H32" i="104"/>
  <c r="G30" i="104"/>
  <c r="G38" i="4"/>
  <c r="E5" i="2" s="1"/>
  <c r="K38" i="4"/>
  <c r="I5" i="2" s="1"/>
  <c r="E45" i="6"/>
  <c r="B52" i="6" s="1"/>
  <c r="I45" i="6"/>
  <c r="G11" i="104" s="1"/>
  <c r="M45" i="6"/>
  <c r="G40" i="7"/>
  <c r="E15" i="104" s="1"/>
  <c r="K40" i="7"/>
  <c r="G37" i="9"/>
  <c r="K37" i="9"/>
  <c r="D30" i="104"/>
  <c r="E30" i="104"/>
  <c r="I30" i="104"/>
  <c r="E32" i="104"/>
  <c r="H38" i="4"/>
  <c r="F5" i="2" s="1"/>
  <c r="L38" i="4"/>
  <c r="J5" i="2" s="1"/>
  <c r="F45" i="6"/>
  <c r="J45" i="6"/>
  <c r="H11" i="104" s="1"/>
  <c r="H40" i="7"/>
  <c r="F15" i="104" s="1"/>
  <c r="L40" i="7"/>
  <c r="J15" i="104" s="1"/>
  <c r="F11" i="9"/>
  <c r="F37" i="9" s="1"/>
  <c r="H37" i="9"/>
  <c r="L37" i="9"/>
  <c r="F30" i="104"/>
  <c r="F32" i="104"/>
  <c r="J32" i="104"/>
  <c r="D45" i="6"/>
  <c r="F13" i="4"/>
  <c r="B53" i="6" l="1"/>
  <c r="F46" i="6"/>
  <c r="B54" i="6"/>
  <c r="B55" i="6" s="1"/>
  <c r="B47" i="7"/>
  <c r="B48" i="7" s="1"/>
  <c r="C11" i="104"/>
  <c r="D15" i="104"/>
  <c r="M46" i="14"/>
  <c r="F41" i="9"/>
  <c r="J26" i="2" s="1"/>
  <c r="F46" i="9"/>
  <c r="F47" i="9" s="1"/>
  <c r="C32" i="104"/>
  <c r="K30" i="104"/>
  <c r="C15" i="104"/>
  <c r="I32" i="104"/>
  <c r="D32" i="104"/>
  <c r="J11" i="104"/>
  <c r="I11" i="104"/>
  <c r="I15" i="104"/>
  <c r="F38" i="4"/>
  <c r="K5" i="2"/>
  <c r="L5" i="2" s="1"/>
  <c r="L30" i="104" l="1"/>
  <c r="M30" i="104"/>
  <c r="E40" i="9"/>
  <c r="D5" i="2"/>
  <c r="B46" i="4"/>
  <c r="B47" i="4" s="1"/>
  <c r="B48" i="4" s="1"/>
  <c r="D11" i="104"/>
  <c r="C35" i="104"/>
  <c r="F42" i="9"/>
  <c r="C20" i="104"/>
  <c r="C39" i="104" s="1"/>
  <c r="K11" i="104"/>
  <c r="K32" i="104"/>
  <c r="M32" i="104" s="1"/>
  <c r="K15" i="104"/>
  <c r="L15" i="104" s="1"/>
  <c r="K50" i="2"/>
  <c r="L50" i="2" s="1"/>
  <c r="C31" i="2" l="1"/>
  <c r="C35" i="2" s="1"/>
  <c r="C38" i="104"/>
  <c r="F48" i="104" s="1"/>
  <c r="F49" i="104"/>
  <c r="E42" i="9"/>
  <c r="L11" i="104"/>
  <c r="C11" i="2"/>
  <c r="L32" i="104"/>
  <c r="K29" i="2"/>
  <c r="L29" i="2" s="1"/>
  <c r="K44" i="2"/>
  <c r="J40" i="2"/>
  <c r="C17" i="2" l="1"/>
  <c r="C40" i="104"/>
  <c r="F47" i="104" s="1"/>
  <c r="L44" i="2"/>
  <c r="J41" i="2"/>
  <c r="I162" i="1"/>
  <c r="F40" i="2"/>
  <c r="G40" i="2"/>
  <c r="H40" i="2"/>
  <c r="I40" i="2"/>
  <c r="H162" i="1" s="1"/>
  <c r="E40" i="2"/>
  <c r="D162" i="1" s="1"/>
  <c r="D40" i="2"/>
  <c r="C40" i="2"/>
  <c r="L39" i="2"/>
  <c r="G41" i="2" l="1"/>
  <c r="F162" i="1"/>
  <c r="F41" i="2"/>
  <c r="E162" i="1"/>
  <c r="I41" i="2"/>
  <c r="H41" i="2"/>
  <c r="G162" i="1"/>
  <c r="E41" i="2"/>
  <c r="K40" i="2"/>
  <c r="F209" i="1"/>
  <c r="G209" i="1"/>
  <c r="H209" i="1"/>
  <c r="I209" i="1"/>
  <c r="D209" i="1"/>
  <c r="B222" i="1"/>
  <c r="B220" i="1"/>
  <c r="J207" i="1"/>
  <c r="J182" i="1"/>
  <c r="J38" i="1"/>
  <c r="C204" i="1"/>
  <c r="C216" i="1" s="1"/>
  <c r="C217" i="1" s="1"/>
  <c r="C181" i="1"/>
  <c r="C161" i="1"/>
  <c r="C301" i="1" s="1"/>
  <c r="C303" i="1" s="1"/>
  <c r="H15" i="3"/>
  <c r="H16" i="3" s="1"/>
  <c r="G15" i="3"/>
  <c r="G16" i="3" s="1"/>
  <c r="H11" i="3"/>
  <c r="H12" i="3" s="1"/>
  <c r="H86" i="1" s="1"/>
  <c r="G11" i="3"/>
  <c r="G12" i="3" s="1"/>
  <c r="G86" i="1" s="1"/>
  <c r="F11" i="3"/>
  <c r="F12" i="3" s="1"/>
  <c r="F86" i="1" s="1"/>
  <c r="E11" i="3"/>
  <c r="E12" i="3" s="1"/>
  <c r="E86" i="1" s="1"/>
  <c r="F3" i="3"/>
  <c r="F4" i="3" s="1"/>
  <c r="F11" i="1" s="1"/>
  <c r="I216" i="1" l="1"/>
  <c r="I217" i="1" s="1"/>
  <c r="H216" i="1"/>
  <c r="G216" i="1"/>
  <c r="F216" i="1"/>
  <c r="C38" i="3"/>
  <c r="J215" i="1"/>
  <c r="F228" i="1"/>
  <c r="L40" i="2"/>
  <c r="C162" i="1"/>
  <c r="C164" i="1" s="1"/>
  <c r="C205" i="1"/>
  <c r="K41" i="2"/>
  <c r="C183" i="1"/>
  <c r="C39" i="1"/>
  <c r="J162" i="1"/>
  <c r="C225" i="1"/>
  <c r="B225" i="1"/>
  <c r="B227" i="1" s="1"/>
  <c r="E3" i="3"/>
  <c r="E4" i="3" s="1"/>
  <c r="E11" i="1" s="1"/>
  <c r="E228" i="1" s="1"/>
  <c r="G3" i="3"/>
  <c r="G4" i="3" s="1"/>
  <c r="G11" i="1" s="1"/>
  <c r="G228" i="1" s="1"/>
  <c r="D3" i="3"/>
  <c r="D4" i="3" s="1"/>
  <c r="D11" i="1" s="1"/>
  <c r="H3" i="3"/>
  <c r="H4" i="3" s="1"/>
  <c r="H11" i="1" s="1"/>
  <c r="D15" i="3"/>
  <c r="D16" i="3" s="1"/>
  <c r="E15" i="3"/>
  <c r="E16" i="3" s="1"/>
  <c r="D11" i="3"/>
  <c r="D12" i="3" s="1"/>
  <c r="D86" i="1" s="1"/>
  <c r="J86" i="1" s="1"/>
  <c r="F15" i="3"/>
  <c r="F16" i="3" s="1"/>
  <c r="H217" i="1" l="1"/>
  <c r="F217" i="1"/>
  <c r="C249" i="1"/>
  <c r="C242" i="1"/>
  <c r="C243" i="1" s="1"/>
  <c r="G217" i="1"/>
  <c r="C197" i="1"/>
  <c r="C198" i="1" s="1"/>
  <c r="C59" i="1"/>
  <c r="H228" i="1"/>
  <c r="E205" i="1"/>
  <c r="E209" i="1" s="1"/>
  <c r="J44" i="14"/>
  <c r="C39" i="3"/>
  <c r="E46" i="2"/>
  <c r="F4" i="2"/>
  <c r="G6" i="2"/>
  <c r="I4" i="2"/>
  <c r="E4" i="2"/>
  <c r="F6" i="2"/>
  <c r="H4" i="2"/>
  <c r="E6" i="2"/>
  <c r="G4" i="2"/>
  <c r="C251" i="1"/>
  <c r="G9" i="104"/>
  <c r="H9" i="104"/>
  <c r="J9" i="104"/>
  <c r="J20" i="104" s="1"/>
  <c r="I9" i="104"/>
  <c r="D228" i="1"/>
  <c r="C47" i="3"/>
  <c r="E9" i="104"/>
  <c r="C206" i="1"/>
  <c r="C19" i="3"/>
  <c r="G46" i="2"/>
  <c r="G62" i="2" s="1"/>
  <c r="G63" i="2" s="1"/>
  <c r="I46" i="2"/>
  <c r="I47" i="2"/>
  <c r="H46" i="2"/>
  <c r="H62" i="2" s="1"/>
  <c r="H63" i="2" s="1"/>
  <c r="I184" i="1"/>
  <c r="I231" i="1" s="1"/>
  <c r="J4" i="3"/>
  <c r="I12" i="3"/>
  <c r="J12" i="3"/>
  <c r="J16" i="3"/>
  <c r="I16" i="3"/>
  <c r="I4" i="3"/>
  <c r="E216" i="1" l="1"/>
  <c r="C228" i="1"/>
  <c r="J205" i="1"/>
  <c r="J209" i="1" s="1"/>
  <c r="N44" i="14"/>
  <c r="L42" i="48"/>
  <c r="D14" i="104" s="1"/>
  <c r="I14" i="104" s="1"/>
  <c r="L43" i="48"/>
  <c r="D34" i="104" s="1"/>
  <c r="I34" i="104" s="1"/>
  <c r="J45" i="14"/>
  <c r="J46" i="14" s="1"/>
  <c r="N45" i="14"/>
  <c r="I62" i="2"/>
  <c r="E62" i="2"/>
  <c r="J27" i="104"/>
  <c r="J35" i="104" s="1"/>
  <c r="E27" i="104"/>
  <c r="H26" i="2"/>
  <c r="I27" i="104"/>
  <c r="D69" i="2"/>
  <c r="C92" i="1" s="1"/>
  <c r="G26" i="2"/>
  <c r="H27" i="104"/>
  <c r="F26" i="2"/>
  <c r="G27" i="104"/>
  <c r="I26" i="2"/>
  <c r="E26" i="2"/>
  <c r="J212" i="1"/>
  <c r="J41" i="1"/>
  <c r="J192" i="1"/>
  <c r="J196" i="1"/>
  <c r="E19" i="1"/>
  <c r="G19" i="1"/>
  <c r="E20" i="104"/>
  <c r="H20" i="104"/>
  <c r="H21" i="104" s="1"/>
  <c r="G20" i="104"/>
  <c r="G11" i="2" s="1"/>
  <c r="J21" i="104"/>
  <c r="J11" i="2"/>
  <c r="K4" i="2"/>
  <c r="C19" i="1"/>
  <c r="J213" i="1"/>
  <c r="I19" i="3"/>
  <c r="F19" i="3"/>
  <c r="F165" i="1" s="1"/>
  <c r="F167" i="1" s="1"/>
  <c r="H19" i="3"/>
  <c r="E19" i="3"/>
  <c r="E165" i="1" s="1"/>
  <c r="D19" i="3"/>
  <c r="D165" i="1" s="1"/>
  <c r="G19" i="3"/>
  <c r="G165" i="1" s="1"/>
  <c r="G167" i="1" s="1"/>
  <c r="G28" i="2"/>
  <c r="F28" i="2"/>
  <c r="I28" i="2"/>
  <c r="E28" i="2"/>
  <c r="K47" i="2"/>
  <c r="J65" i="2"/>
  <c r="H65" i="2"/>
  <c r="H69" i="2" s="1"/>
  <c r="G65" i="2"/>
  <c r="G69" i="2" s="1"/>
  <c r="I65" i="2"/>
  <c r="E65" i="2"/>
  <c r="J66" i="2"/>
  <c r="I66" i="2"/>
  <c r="J184" i="1"/>
  <c r="K46" i="2"/>
  <c r="K6" i="2"/>
  <c r="D48" i="3"/>
  <c r="E16" i="2" s="1"/>
  <c r="H47" i="3"/>
  <c r="E47" i="3"/>
  <c r="F48" i="3"/>
  <c r="G16" i="2" s="1"/>
  <c r="F47" i="3"/>
  <c r="G48" i="3"/>
  <c r="H16" i="2" s="1"/>
  <c r="G47" i="3"/>
  <c r="E48" i="3"/>
  <c r="F16" i="2" s="1"/>
  <c r="D47" i="3"/>
  <c r="E217" i="1" l="1"/>
  <c r="J17" i="2"/>
  <c r="I8" i="1" s="1"/>
  <c r="I21" i="1" s="1"/>
  <c r="I63" i="2"/>
  <c r="H19" i="1"/>
  <c r="E167" i="1"/>
  <c r="H165" i="1"/>
  <c r="I165" i="1"/>
  <c r="E63" i="2"/>
  <c r="G174" i="1"/>
  <c r="F174" i="1"/>
  <c r="J44" i="48"/>
  <c r="J46" i="48" s="1"/>
  <c r="K34" i="104"/>
  <c r="K62" i="2"/>
  <c r="E35" i="104"/>
  <c r="H35" i="104"/>
  <c r="H31" i="2" s="1"/>
  <c r="H35" i="2" s="1"/>
  <c r="L46" i="14"/>
  <c r="G35" i="104"/>
  <c r="G31" i="2" s="1"/>
  <c r="G35" i="2" s="1"/>
  <c r="F35" i="104"/>
  <c r="D19" i="1"/>
  <c r="D27" i="104"/>
  <c r="D35" i="104" s="1"/>
  <c r="E69" i="2"/>
  <c r="D92" i="1" s="1"/>
  <c r="D9" i="104"/>
  <c r="K9" i="104"/>
  <c r="L9" i="104" s="1"/>
  <c r="I69" i="2"/>
  <c r="I70" i="2" s="1"/>
  <c r="J69" i="2"/>
  <c r="H70" i="2"/>
  <c r="G92" i="1"/>
  <c r="F92" i="1"/>
  <c r="G70" i="2"/>
  <c r="J57" i="1"/>
  <c r="L6" i="2"/>
  <c r="D6" i="2"/>
  <c r="L4" i="2"/>
  <c r="D4" i="2"/>
  <c r="K16" i="2"/>
  <c r="L16" i="2" s="1"/>
  <c r="G17" i="2"/>
  <c r="C230" i="1"/>
  <c r="J44" i="1"/>
  <c r="G21" i="104"/>
  <c r="H11" i="2"/>
  <c r="E21" i="104"/>
  <c r="E11" i="2"/>
  <c r="J36" i="104"/>
  <c r="J31" i="2"/>
  <c r="J35" i="2" s="1"/>
  <c r="K26" i="2"/>
  <c r="J19" i="3"/>
  <c r="L46" i="2"/>
  <c r="K66" i="2"/>
  <c r="K65" i="2"/>
  <c r="K28" i="2"/>
  <c r="J42" i="1"/>
  <c r="K43" i="1" s="1"/>
  <c r="J216" i="1"/>
  <c r="J217" i="1" s="1"/>
  <c r="E174" i="1" l="1"/>
  <c r="H17" i="2"/>
  <c r="H18" i="2" s="1"/>
  <c r="E17" i="2"/>
  <c r="D8" i="1" s="1"/>
  <c r="I167" i="1"/>
  <c r="I174" i="1" s="1"/>
  <c r="I175" i="1" s="1"/>
  <c r="H167" i="1"/>
  <c r="H229" i="1"/>
  <c r="E175" i="1"/>
  <c r="F175" i="1"/>
  <c r="G175" i="1"/>
  <c r="K63" i="2"/>
  <c r="L34" i="104"/>
  <c r="M34" i="104"/>
  <c r="F8" i="1"/>
  <c r="E70" i="2"/>
  <c r="I35" i="104"/>
  <c r="I36" i="104" s="1"/>
  <c r="F36" i="104"/>
  <c r="K27" i="104"/>
  <c r="M27" i="104" s="1"/>
  <c r="D31" i="2"/>
  <c r="D20" i="104"/>
  <c r="D11" i="2" s="1"/>
  <c r="H92" i="1"/>
  <c r="I20" i="104"/>
  <c r="K14" i="104"/>
  <c r="L14" i="104" s="1"/>
  <c r="L65" i="2"/>
  <c r="K69" i="2"/>
  <c r="J70" i="2"/>
  <c r="I92" i="1"/>
  <c r="I230" i="1" s="1"/>
  <c r="L28" i="2"/>
  <c r="D28" i="2"/>
  <c r="L26" i="2"/>
  <c r="D26" i="2"/>
  <c r="G18" i="2"/>
  <c r="H36" i="104"/>
  <c r="G36" i="104"/>
  <c r="C165" i="1"/>
  <c r="F31" i="2"/>
  <c r="F35" i="2" s="1"/>
  <c r="J18" i="2"/>
  <c r="J36" i="2"/>
  <c r="E36" i="104"/>
  <c r="E31" i="2"/>
  <c r="E35" i="2" s="1"/>
  <c r="D230" i="1"/>
  <c r="E230" i="1"/>
  <c r="G36" i="2"/>
  <c r="H36" i="2"/>
  <c r="J165" i="1"/>
  <c r="D167" i="1"/>
  <c r="H174" i="1" l="1"/>
  <c r="D174" i="1"/>
  <c r="D175" i="1" s="1"/>
  <c r="G8" i="1"/>
  <c r="D17" i="2"/>
  <c r="D35" i="2"/>
  <c r="H230" i="1"/>
  <c r="J51" i="1"/>
  <c r="G83" i="1"/>
  <c r="F83" i="1"/>
  <c r="J50" i="1"/>
  <c r="I31" i="2"/>
  <c r="I35" i="2" s="1"/>
  <c r="L27" i="104"/>
  <c r="L35" i="104" s="1"/>
  <c r="K35" i="104"/>
  <c r="K38" i="104" s="1"/>
  <c r="I21" i="104"/>
  <c r="I11" i="2"/>
  <c r="G230" i="1"/>
  <c r="C167" i="1"/>
  <c r="C174" i="1" s="1"/>
  <c r="C175" i="1" s="1"/>
  <c r="I83" i="1"/>
  <c r="I94" i="1" s="1"/>
  <c r="F36" i="2"/>
  <c r="E18" i="2"/>
  <c r="K36" i="104"/>
  <c r="J92" i="1"/>
  <c r="K70" i="2"/>
  <c r="J167" i="1"/>
  <c r="H175" i="1" l="1"/>
  <c r="I17" i="2"/>
  <c r="I18" i="2" s="1"/>
  <c r="I226" i="1"/>
  <c r="J47" i="1"/>
  <c r="E83" i="1"/>
  <c r="I36" i="2"/>
  <c r="K31" i="2"/>
  <c r="K35" i="2" s="1"/>
  <c r="C245" i="1"/>
  <c r="J53" i="1"/>
  <c r="J168" i="1"/>
  <c r="I168" i="1"/>
  <c r="H168" i="1"/>
  <c r="E168" i="1"/>
  <c r="G168" i="1"/>
  <c r="F168" i="1"/>
  <c r="D168" i="1"/>
  <c r="E36" i="2"/>
  <c r="D83" i="1" s="1"/>
  <c r="J45" i="1"/>
  <c r="H8" i="1" l="1"/>
  <c r="H21" i="1" s="1"/>
  <c r="H83" i="1"/>
  <c r="H94" i="1" s="1"/>
  <c r="J173" i="1"/>
  <c r="L31" i="2"/>
  <c r="J171" i="1"/>
  <c r="D226" i="1"/>
  <c r="K36" i="2"/>
  <c r="J189" i="1"/>
  <c r="J172" i="1" l="1"/>
  <c r="L35" i="2"/>
  <c r="J170" i="1"/>
  <c r="J83" i="1"/>
  <c r="J193" i="1"/>
  <c r="J130" i="1"/>
  <c r="C83" i="1" l="1"/>
  <c r="J117" i="1"/>
  <c r="J174" i="1"/>
  <c r="C84" i="1" l="1"/>
  <c r="J175" i="1"/>
  <c r="C89" i="1" l="1"/>
  <c r="G89" i="1" s="1"/>
  <c r="G94" i="1" s="1"/>
  <c r="J115" i="1"/>
  <c r="E89" i="1" l="1"/>
  <c r="E94" i="1" s="1"/>
  <c r="F89" i="1"/>
  <c r="F94" i="1" s="1"/>
  <c r="D89" i="1"/>
  <c r="D94" i="1" s="1"/>
  <c r="J94" i="1"/>
  <c r="J85" i="1"/>
  <c r="J89" i="1" l="1"/>
  <c r="D95" i="1"/>
  <c r="H95" i="1" l="1"/>
  <c r="I95" i="1"/>
  <c r="F95" i="1"/>
  <c r="E95" i="1"/>
  <c r="G95" i="1"/>
  <c r="I99" i="1" l="1"/>
  <c r="D103" i="1"/>
  <c r="J97" i="1"/>
  <c r="J102" i="1"/>
  <c r="J95" i="1"/>
  <c r="H103" i="1" l="1"/>
  <c r="I103" i="1"/>
  <c r="G103" i="1"/>
  <c r="F103" i="1"/>
  <c r="E103" i="1"/>
  <c r="D104" i="1"/>
  <c r="J96" i="1"/>
  <c r="J99" i="1"/>
  <c r="J98" i="1"/>
  <c r="G226" i="1"/>
  <c r="B48" i="29"/>
  <c r="G104" i="1" l="1"/>
  <c r="E104" i="1"/>
  <c r="F104" i="1"/>
  <c r="H104" i="1"/>
  <c r="I104" i="1"/>
  <c r="J103" i="1"/>
  <c r="E129" i="1"/>
  <c r="I132" i="1"/>
  <c r="I129" i="1"/>
  <c r="G129" i="1"/>
  <c r="F226" i="1"/>
  <c r="D129" i="1"/>
  <c r="F8" i="104"/>
  <c r="F20" i="104" s="1"/>
  <c r="G132" i="1" l="1"/>
  <c r="E132" i="1"/>
  <c r="E133" i="1" s="1"/>
  <c r="E234" i="1" s="1"/>
  <c r="J104" i="1"/>
  <c r="D133" i="1"/>
  <c r="D234" i="1" s="1"/>
  <c r="I133" i="1"/>
  <c r="I234" i="1" s="1"/>
  <c r="G133" i="1"/>
  <c r="G234" i="1" s="1"/>
  <c r="F129" i="1"/>
  <c r="K8" i="104"/>
  <c r="K20" i="104" s="1"/>
  <c r="K39" i="104" s="1"/>
  <c r="J131" i="1" l="1"/>
  <c r="P47" i="104"/>
  <c r="F132" i="1"/>
  <c r="F133" i="1" s="1"/>
  <c r="F234" i="1" s="1"/>
  <c r="G47" i="104"/>
  <c r="F21" i="104"/>
  <c r="K21" i="104" s="1"/>
  <c r="F11" i="2"/>
  <c r="L8" i="104"/>
  <c r="F17" i="2" l="1"/>
  <c r="E8" i="1" s="1"/>
  <c r="L20" i="104"/>
  <c r="K11" i="2"/>
  <c r="K17" i="2" l="1"/>
  <c r="C8" i="1" s="1"/>
  <c r="C226" i="1" s="1"/>
  <c r="K40" i="104"/>
  <c r="F18" i="2"/>
  <c r="L11" i="2"/>
  <c r="L17" i="2" l="1"/>
  <c r="K18" i="2"/>
  <c r="C227" i="1"/>
  <c r="C9" i="1"/>
  <c r="C17" i="1" s="1"/>
  <c r="E226" i="1"/>
  <c r="J8" i="1"/>
  <c r="J226" i="1" s="1"/>
  <c r="E17" i="1" l="1"/>
  <c r="E21" i="1" s="1"/>
  <c r="E249" i="1" s="1"/>
  <c r="F17" i="1"/>
  <c r="G17" i="1"/>
  <c r="G21" i="1" s="1"/>
  <c r="G249" i="1" s="1"/>
  <c r="J11" i="1"/>
  <c r="J228" i="1" s="1"/>
  <c r="F229" i="1" l="1"/>
  <c r="G229" i="1"/>
  <c r="G233" i="1" s="1"/>
  <c r="E229" i="1"/>
  <c r="E233" i="1" s="1"/>
  <c r="J112" i="1"/>
  <c r="J127" i="1" s="1"/>
  <c r="J129" i="1" l="1"/>
  <c r="J208" i="1"/>
  <c r="H129" i="1"/>
  <c r="H249" i="1" s="1"/>
  <c r="H132" i="1"/>
  <c r="H226" i="1"/>
  <c r="H233" i="1" s="1"/>
  <c r="J132" i="1" l="1"/>
  <c r="H133" i="1"/>
  <c r="H234" i="1" s="1"/>
  <c r="J133" i="1" l="1"/>
  <c r="J234" i="1" s="1"/>
  <c r="D17" i="1"/>
  <c r="D21" i="1" s="1"/>
  <c r="D249" i="1" s="1"/>
  <c r="D229" i="1" l="1"/>
  <c r="D233" i="1" s="1"/>
  <c r="E251" i="1"/>
  <c r="G251" i="1"/>
  <c r="J17" i="1"/>
  <c r="H251" i="1"/>
  <c r="D251" i="1" l="1"/>
  <c r="C246" i="1" l="1"/>
  <c r="F19" i="1"/>
  <c r="F21" i="1" s="1"/>
  <c r="F249" i="1" s="1"/>
  <c r="J19" i="1" l="1"/>
  <c r="F230" i="1"/>
  <c r="F233" i="1" s="1"/>
  <c r="F251" i="1" l="1"/>
  <c r="J21" i="1"/>
  <c r="F22" i="1" l="1"/>
  <c r="E22" i="1"/>
  <c r="I22" i="1"/>
  <c r="D22" i="1"/>
  <c r="G22" i="1"/>
  <c r="H22" i="1"/>
  <c r="I26" i="1" l="1"/>
  <c r="I239" i="1" s="1"/>
  <c r="H239" i="1"/>
  <c r="G239" i="1"/>
  <c r="D239" i="1"/>
  <c r="E239" i="1"/>
  <c r="F239" i="1"/>
  <c r="J29" i="1"/>
  <c r="J22" i="1"/>
  <c r="E243" i="1" l="1"/>
  <c r="H244" i="1"/>
  <c r="F30" i="1"/>
  <c r="F242" i="1" s="1"/>
  <c r="F243" i="1" s="1"/>
  <c r="G30" i="1"/>
  <c r="G242" i="1" s="1"/>
  <c r="G243" i="1" s="1"/>
  <c r="E30" i="1"/>
  <c r="E242" i="1" s="1"/>
  <c r="I30" i="1"/>
  <c r="H30" i="1"/>
  <c r="H242" i="1" s="1"/>
  <c r="H243" i="1" s="1"/>
  <c r="D30" i="1"/>
  <c r="D242" i="1" s="1"/>
  <c r="D243" i="1" s="1"/>
  <c r="J23" i="1"/>
  <c r="J236" i="1" s="1"/>
  <c r="J26" i="1"/>
  <c r="J239" i="1" s="1"/>
  <c r="J25" i="1"/>
  <c r="J238" i="1" s="1"/>
  <c r="J24" i="1"/>
  <c r="J28" i="1"/>
  <c r="J241" i="1" s="1"/>
  <c r="K241" i="1" s="1"/>
  <c r="H301" i="1" l="1"/>
  <c r="H31" i="1"/>
  <c r="I31" i="1"/>
  <c r="E31" i="1"/>
  <c r="G31" i="1"/>
  <c r="F31" i="1"/>
  <c r="D31" i="1"/>
  <c r="J30" i="1"/>
  <c r="J31" i="1" l="1"/>
  <c r="D59" i="1" l="1"/>
  <c r="D245" i="1" s="1"/>
  <c r="D246" i="1" s="1"/>
  <c r="F59" i="1"/>
  <c r="F245" i="1" s="1"/>
  <c r="F246" i="1" s="1"/>
  <c r="G59" i="1"/>
  <c r="G245" i="1" s="1"/>
  <c r="G246" i="1" s="1"/>
  <c r="H59" i="1"/>
  <c r="J48" i="1"/>
  <c r="J237" i="1" s="1"/>
  <c r="K237" i="1" s="1"/>
  <c r="I58" i="1" l="1"/>
  <c r="H245" i="1"/>
  <c r="H246" i="1" s="1"/>
  <c r="G299" i="1"/>
  <c r="G301" i="1" s="1"/>
  <c r="D299" i="1"/>
  <c r="D301" i="1" s="1"/>
  <c r="F299" i="1"/>
  <c r="F301" i="1" s="1"/>
  <c r="K238" i="1"/>
  <c r="E59" i="1"/>
  <c r="E245" i="1" s="1"/>
  <c r="E246" i="1" s="1"/>
  <c r="J58" i="1" l="1"/>
  <c r="I59" i="1"/>
  <c r="J59" i="1" s="1"/>
  <c r="K59" i="1" s="1"/>
  <c r="E299" i="1" l="1"/>
  <c r="E301" i="1" s="1"/>
  <c r="I299" i="1" l="1"/>
  <c r="J259" i="1" l="1"/>
  <c r="J299" i="1" s="1"/>
  <c r="J186" i="1" l="1"/>
  <c r="J231" i="1" s="1"/>
  <c r="C186" i="1"/>
  <c r="C231" i="1" s="1"/>
  <c r="C185" i="1" l="1"/>
  <c r="C188" i="1"/>
  <c r="I185" i="1"/>
  <c r="C229" i="1"/>
  <c r="C233" i="1" l="1"/>
  <c r="C244" i="1" s="1"/>
  <c r="I229" i="1"/>
  <c r="I233" i="1" s="1"/>
  <c r="J244" i="1" s="1"/>
  <c r="I188" i="1"/>
  <c r="I249" i="1" s="1"/>
  <c r="J185" i="1"/>
  <c r="J229" i="1" l="1"/>
  <c r="J233" i="1" s="1"/>
  <c r="J188" i="1"/>
  <c r="J249" i="1" s="1"/>
  <c r="I197" i="1"/>
  <c r="I242" i="1" s="1"/>
  <c r="I243" i="1" s="1"/>
  <c r="I251" i="1"/>
  <c r="K233" i="1"/>
  <c r="J197" i="1" l="1"/>
  <c r="I198" i="1"/>
  <c r="L233" i="1"/>
  <c r="M233" i="1"/>
  <c r="J251" i="1"/>
  <c r="J242" i="1" l="1"/>
  <c r="J243" i="1" s="1"/>
  <c r="J198" i="1"/>
  <c r="I245" i="1"/>
  <c r="J245" i="1" s="1"/>
  <c r="K249" i="1" l="1"/>
  <c r="L249" i="1" s="1"/>
  <c r="L243" i="1"/>
  <c r="K242" i="1"/>
  <c r="I246" i="1"/>
  <c r="J246" i="1" s="1"/>
  <c r="K2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tc={F03A3121-08D9-4102-975E-C624064D1071}</author>
  </authors>
  <commentList>
    <comment ref="B56" authorId="0" shapeId="0" xr:uid="{F03A3121-08D9-4102-975E-C624064D107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tc={805EA349-C048-406A-A309-768C4D39E71F}</author>
  </authors>
  <commentList>
    <comment ref="B48" authorId="0" shapeId="0" xr:uid="{805EA349-C048-406A-A309-768C4D39E71F}">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tc={8F3F9784-BAD8-41F8-A867-CCCDBBA5D0AA}</author>
  </authors>
  <commentList>
    <comment ref="B57" authorId="0" shapeId="0" xr:uid="{8F3F9784-BAD8-41F8-A867-CCCDBBA5D0A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tc={FA96CA22-727C-4730-814F-D8CFCA2D6E57}</author>
  </authors>
  <commentList>
    <comment ref="B47" authorId="0" shapeId="0" xr:uid="{FA96CA22-727C-4730-814F-D8CFCA2D6E57}">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tc={6874E861-F7D1-48BC-9B1B-879C0DEA3544}</author>
  </authors>
  <commentList>
    <comment ref="B45" authorId="0" shapeId="0" xr:uid="{6874E861-F7D1-48BC-9B1B-879C0DEA3544}">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tc={88DF67E4-5604-45B4-8563-A599E07DA7FB}</author>
  </authors>
  <commentList>
    <comment ref="B66" authorId="0" shapeId="0" xr:uid="{88DF67E4-5604-45B4-8563-A599E07DA7FB}">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tc={79E95824-8B1C-4BE2-B097-E4B172EF0123}</author>
  </authors>
  <commentList>
    <comment ref="B50" authorId="0" shapeId="0" xr:uid="{79E95824-8B1C-4BE2-B097-E4B172EF0123}">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tc={E62A3D7A-F6E9-40B9-AE9F-76CEC1E3D3AC}</author>
  </authors>
  <commentList>
    <comment ref="B44" authorId="0" shapeId="0" xr:uid="{E62A3D7A-F6E9-40B9-AE9F-76CEC1E3D3AC}">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tc={426B8449-C23C-46A5-9E3D-D33AD6F3E8CE}</author>
  </authors>
  <commentList>
    <comment ref="B56" authorId="0" shapeId="0" xr:uid="{426B8449-C23C-46A5-9E3D-D33AD6F3E8CE}">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tc={53A6A6A7-C1BB-4885-BE9B-70E6E4D4F418}</author>
  </authors>
  <commentList>
    <comment ref="B53" authorId="0" shapeId="0" xr:uid="{53A6A6A7-C1BB-4885-BE9B-70E6E4D4F418}">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tc={6151F796-1624-4EEA-91E4-316375754735}</author>
  </authors>
  <commentList>
    <comment ref="B81" authorId="0" shapeId="0" xr:uid="{6151F796-1624-4EEA-91E4-316375754735}">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tc={DF77447E-AA95-4B41-8C25-312AAB246CA4}</author>
  </authors>
  <commentList>
    <comment ref="B67" authorId="0" shapeId="0" xr:uid="{DF77447E-AA95-4B41-8C25-312AAB246CA4}">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tc={F3C34C86-9DC1-44E5-AE34-CD29A062DB8A}</author>
  </authors>
  <commentList>
    <comment ref="B64" authorId="0" shapeId="0" xr:uid="{F3C34C86-9DC1-44E5-AE34-CD29A062DB8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tc={ADA7AAE4-9116-4C62-B714-A6C12C981411}</author>
  </authors>
  <commentList>
    <comment ref="B57" authorId="0" shapeId="0" xr:uid="{ADA7AAE4-9116-4C62-B714-A6C12C98141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tc={D22C0E7A-CDC8-4C0D-808B-1571A7A5336C}</author>
  </authors>
  <commentList>
    <comment ref="B84" authorId="0" shapeId="0" xr:uid="{D22C0E7A-CDC8-4C0D-808B-1571A7A5336C}">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tc={56CB244D-9C53-4D4B-A45A-481E339BAEEF}</author>
  </authors>
  <commentList>
    <comment ref="B60" authorId="0" shapeId="0" xr:uid="{56CB244D-9C53-4D4B-A45A-481E339BAEEF}">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tc={D2CF6B79-5D74-4CCB-9CE3-E9B3F61D9D09}</author>
  </authors>
  <commentList>
    <comment ref="B54" authorId="0" shapeId="0" xr:uid="{D2CF6B79-5D74-4CCB-9CE3-E9B3F61D9D09}">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tc={96334414-0081-4F9E-B215-BAEDFE5FD7F4}</author>
  </authors>
  <commentList>
    <comment ref="B59" authorId="0" shapeId="0" xr:uid="{96334414-0081-4F9E-B215-BAEDFE5FD7F4}">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tc={2FEECFF5-2FAA-472A-B729-D6B66A3E8441}</author>
  </authors>
  <commentList>
    <comment ref="B61" authorId="0" shapeId="0" xr:uid="{2FEECFF5-2FAA-472A-B729-D6B66A3E844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tc={6C4BF0B2-B1B6-4599-9467-EE5E4587EAB8}</author>
  </authors>
  <commentList>
    <comment ref="B50" authorId="0" shapeId="0" xr:uid="{6C4BF0B2-B1B6-4599-9467-EE5E4587EAB8}">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tc={0759C735-4394-4D6C-AF19-26DBFF67C511}</author>
  </authors>
  <commentList>
    <comment ref="B50" authorId="0" shapeId="0" xr:uid="{0759C735-4394-4D6C-AF19-26DBFF67C51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tc={E0366A68-0EE9-4809-8BFF-A3205E57FF53}</author>
  </authors>
  <commentList>
    <comment ref="B58" authorId="0" shapeId="0" xr:uid="{E0366A68-0EE9-4809-8BFF-A3205E57FF53}">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tc={82F67595-B0FC-4218-9E81-6EBA3A66449F}</author>
  </authors>
  <commentList>
    <comment ref="B61" authorId="0" shapeId="0" xr:uid="{82F67595-B0FC-4218-9E81-6EBA3A66449F}">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Fojtik Jaymee L</author>
    <author>tc={6D6EC39A-23C3-409C-83B0-42894219D388}</author>
  </authors>
  <commentList>
    <comment ref="N31" authorId="0" shapeId="0" xr:uid="{0AB7FE7F-C88C-4E2B-A7B1-04725B6844FC}">
      <text>
        <r>
          <rPr>
            <b/>
            <sz val="9"/>
            <color indexed="81"/>
            <rFont val="Tahoma"/>
            <family val="2"/>
          </rPr>
          <t>Fojtik Jaymee L:</t>
        </r>
        <r>
          <rPr>
            <sz val="9"/>
            <color indexed="81"/>
            <rFont val="Tahoma"/>
            <family val="2"/>
          </rPr>
          <t xml:space="preserve">
These costs are related to keeping curent in the data exchange environment,  software and  technology upgrades</t>
        </r>
      </text>
    </comment>
    <comment ref="B59" authorId="1" shapeId="0" xr:uid="{6D6EC39A-23C3-409C-83B0-42894219D388}">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tc={E0150D6F-B509-4D2A-87DD-09ABC10D67A8}</author>
  </authors>
  <commentList>
    <comment ref="B61" authorId="0" shapeId="0" xr:uid="{E0150D6F-B509-4D2A-87DD-09ABC10D67A8}">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tc={530B0940-31F7-466B-B93A-EEDA1F4D492F}</author>
  </authors>
  <commentList>
    <comment ref="N31" authorId="0" shapeId="0" xr:uid="{530B0940-31F7-466B-B93A-EEDA1F4D492F}">
      <text>
        <t>[Threaded comment]
Your version of Excel allows you to read this threaded comment; however, any edits to it will get removed if the file is opened in a newer version of Excel. Learn more: https://go.microsoft.com/fwlink/?linkid=870924
Comment:
    2023 will be the last year of this contract Option Year 4. You may want to consider if this contract will be recompeted and if there may be costs involve with a transition to a new contractor and in the procurement process. My experience has been that there are additional funds required for overlap of contracts for knowledge and tech transfer</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tc={FA0ED8D2-5165-496D-A95F-D8901B0C79DE}</author>
  </authors>
  <commentList>
    <comment ref="B50" authorId="0" shapeId="0" xr:uid="{FA0ED8D2-5165-496D-A95F-D8901B0C79DE}">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tc={6FC98C73-109B-4301-A7B3-5B8C9706E650}</author>
  </authors>
  <commentList>
    <comment ref="B60" authorId="0" shapeId="0" xr:uid="{6FC98C73-109B-4301-A7B3-5B8C9706E650}">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tc={BDECEDB9-0E19-4FD2-BDD5-4F8917C921FF}</author>
  </authors>
  <commentList>
    <comment ref="B50" authorId="0" shapeId="0" xr:uid="{BDECEDB9-0E19-4FD2-BDD5-4F8917C921FF}">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tc={CA190496-CD93-44F2-B24A-B2CAE1E2DCEA}</author>
  </authors>
  <commentList>
    <comment ref="B48" authorId="0" shapeId="0" xr:uid="{CA190496-CD93-44F2-B24A-B2CAE1E2DCE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tc={197F0319-F3EA-4353-8A77-703B772A7412}</author>
  </authors>
  <commentList>
    <comment ref="B57" authorId="0" shapeId="0" xr:uid="{197F0319-F3EA-4353-8A77-703B772A7412}">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tc={BE646710-56D5-473E-8735-D742153FCEEB}</author>
  </authors>
  <commentList>
    <comment ref="B51" authorId="0" shapeId="0" xr:uid="{BE646710-56D5-473E-8735-D742153FCEEB}">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tc={716272C1-045D-4251-9CB7-299AD6C14B8E}</author>
  </authors>
  <commentList>
    <comment ref="B51" authorId="0" shapeId="0" xr:uid="{716272C1-045D-4251-9CB7-299AD6C14B8E}">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tc={6A6C0789-8475-4A72-AEF0-76465B12C92C}</author>
  </authors>
  <commentList>
    <comment ref="B51" authorId="0" shapeId="0" xr:uid="{6A6C0789-8475-4A72-AEF0-76465B12C92C}">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tc={245BDB51-1058-4B48-8303-C878A16B2C73}</author>
  </authors>
  <commentList>
    <comment ref="B45" authorId="0" shapeId="0" xr:uid="{245BDB51-1058-4B48-8303-C878A16B2C73}">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<sst xmlns="http://schemas.openxmlformats.org/spreadsheetml/2006/main" count="6137" uniqueCount="1626">
  <si>
    <t>BIA</t>
  </si>
  <si>
    <t>BLM</t>
  </si>
  <si>
    <t>FWS</t>
  </si>
  <si>
    <t>NPS</t>
  </si>
  <si>
    <t>OWF</t>
  </si>
  <si>
    <t>Total</t>
  </si>
  <si>
    <t>Total w/o OS</t>
  </si>
  <si>
    <t>Update %, based on Preliminary BAR Distribution spreadsheet</t>
  </si>
  <si>
    <t>FY2012 HFPAS Calculation</t>
  </si>
  <si>
    <t>FY2013 HFPAS Calculation</t>
  </si>
  <si>
    <t>FY2015 Fuels Allocation %</t>
  </si>
  <si>
    <t>FY 2016 Fuels Allocation %</t>
  </si>
  <si>
    <t>FY 2016 Fuels Allocation % including bureau hold harmless and BLM risk based one-time funding</t>
  </si>
  <si>
    <t>FY 2017 Fuels Allocation % as per  Dep Sec memo methodology, 10/25/2016</t>
  </si>
  <si>
    <t>FY 2018 Fuels Allocation % as per  Dep Sec memo methodology, 10/25/2016</t>
  </si>
  <si>
    <t>FY 2019 Fuels Allocation % as per  Dep Sec memo methodology, 10/25/2016</t>
  </si>
  <si>
    <t xml:space="preserve">FY 2016 Preparedness Allocation % </t>
  </si>
  <si>
    <t>FY 2016 Preparedness Allocation % less BIA tribal contract and administrative support moved to designated funding, and including bureau hold harmless and BLM risk based one-time funding</t>
  </si>
  <si>
    <t>FY 2017 Preparedness Allocation % as per  Dep Sec memo methodology, 10/25/2016</t>
  </si>
  <si>
    <t>FY 2018 Preparedness Allocation % as per  Dep Sec memo methodology, 10/25/2016</t>
  </si>
  <si>
    <t>Applied to funding levels above FY 2017 base operational level</t>
  </si>
  <si>
    <t>FY 2019 Preparedness Allocation % as per  Dep Sec memo methodology, 10/25/2016</t>
  </si>
  <si>
    <t>Adjust to Formula when Funding more certain</t>
  </si>
  <si>
    <t>Formula for Prep/Fuels Split once Funding more certain</t>
  </si>
  <si>
    <t>Prep</t>
  </si>
  <si>
    <t>Fuels</t>
  </si>
  <si>
    <t>Parent</t>
  </si>
  <si>
    <t>Preparedness</t>
  </si>
  <si>
    <t>Without Fixed Cost allocation</t>
  </si>
  <si>
    <t>Revised Allocation %</t>
  </si>
  <si>
    <t>Allocation w/o OWF</t>
  </si>
  <si>
    <t>Resulting Allocation w/o OS</t>
  </si>
  <si>
    <t>Estimated Allocation Percentages for Fuels Base Operational Funding, FY2017-FY2019</t>
  </si>
  <si>
    <t>EVAB Percentage</t>
  </si>
  <si>
    <t>FY 2016 Percentage (Historic)</t>
  </si>
  <si>
    <t>FY 2017 Percentage (Historic) including bureau hold harmless and BLM risk based one-time funding</t>
  </si>
  <si>
    <t>85 Historic/15 EVAB (FY2017)</t>
  </si>
  <si>
    <t>80 Historic/20 EVAB (FY2018)</t>
  </si>
  <si>
    <t>Unchanged - remained at FY 2017 funding level</t>
  </si>
  <si>
    <t>75 Historic/25 EVAB (FY2019)</t>
  </si>
  <si>
    <t>Date</t>
  </si>
  <si>
    <t>Change</t>
  </si>
  <si>
    <t>Updated Common Services project sheets as provided by bureau/project leads</t>
  </si>
  <si>
    <t>Inserted all of the common services requests at CR level and CR budget amounts as agreed to</t>
  </si>
  <si>
    <t>DOI Wildland Fire Management Allocation</t>
  </si>
  <si>
    <t>NOTE: CR Rows hidden; not currently needed</t>
  </si>
  <si>
    <t>Wildland Fire Preparedness</t>
  </si>
  <si>
    <t>Department Common Services &amp; Designated Funding</t>
  </si>
  <si>
    <t>Available for Direct</t>
  </si>
  <si>
    <t>Percentage Distribution w/o Dept wide &amp; OWF</t>
  </si>
  <si>
    <t>Maintained FY 2017 allocation percentages from the Connor Memo</t>
  </si>
  <si>
    <t>Fixed costs by agency</t>
  </si>
  <si>
    <t>Workforce Transformation</t>
  </si>
  <si>
    <t xml:space="preserve">Direct Program </t>
  </si>
  <si>
    <t>Program Adjustment to FY 2017 Funding level</t>
  </si>
  <si>
    <t>Service Level Agreements</t>
  </si>
  <si>
    <t>Carryover Distribution by Bureau</t>
  </si>
  <si>
    <t>Total Allocation by Bureau/Office w/Carryover distribution</t>
  </si>
  <si>
    <t>% of total</t>
  </si>
  <si>
    <t>3rd CR transfer level</t>
  </si>
  <si>
    <t>2nd CR transfer level</t>
  </si>
  <si>
    <t>Reverse Reallocation of Preparedness Funding</t>
  </si>
  <si>
    <t>Reallocate Preparedness Funding to Suppression</t>
  </si>
  <si>
    <t>1st CR transfer level</t>
  </si>
  <si>
    <t>Balance of Full Year</t>
  </si>
  <si>
    <t>Total Allocation by Bureau/Office</t>
  </si>
  <si>
    <t>Wildland Fire Suppression</t>
  </si>
  <si>
    <t>Direct Program</t>
  </si>
  <si>
    <t>40% of 10-yr avg suppression only</t>
  </si>
  <si>
    <t>Additional Transfers</t>
  </si>
  <si>
    <t>Transfer from facilities</t>
  </si>
  <si>
    <t>2nd CR  transfer level</t>
  </si>
  <si>
    <t>Reverse Reallocation of Prep, Fuels, and Facilities Funding</t>
  </si>
  <si>
    <t>Reallocate Preparedness and Fuels Funding to Suppression</t>
  </si>
  <si>
    <t>1st CR transfer - Suppression allocation from Facilities</t>
  </si>
  <si>
    <t>Wildland Fire Suppression CAP Adjustment</t>
  </si>
  <si>
    <t>Wildland Fire Fuels Management</t>
  </si>
  <si>
    <t>Program Adjustment - New Base Funding</t>
  </si>
  <si>
    <t>Program Adjustment/Activity Support</t>
  </si>
  <si>
    <t>Reallocate Fuels Funding to Suppression</t>
  </si>
  <si>
    <t>Disaster Relief</t>
  </si>
  <si>
    <t>Adjustment for Carryover</t>
  </si>
  <si>
    <t>Disaster Relief ~ Fuels Management</t>
  </si>
  <si>
    <t>Disaster Relief ~ BAR</t>
  </si>
  <si>
    <t>Bipartisan Infrastructure Law</t>
  </si>
  <si>
    <t>OIG 0.5% Funding Transfer</t>
  </si>
  <si>
    <t>Infrastructure ~ Preparedness</t>
  </si>
  <si>
    <t>Infrastructure ~ Fuels Management</t>
  </si>
  <si>
    <t>Infrastructure ~ BAR</t>
  </si>
  <si>
    <t>Infrastructure ~JFSP</t>
  </si>
  <si>
    <t xml:space="preserve">Wildland Fire Burned Area Rehabilitation </t>
  </si>
  <si>
    <t xml:space="preserve">Wildland Fire Facilities </t>
  </si>
  <si>
    <t>3% - Disposal and Consolidation</t>
  </si>
  <si>
    <t>Distribution of A&amp;E Design</t>
  </si>
  <si>
    <t>Reverse Reallocation of Facilities Funding</t>
  </si>
  <si>
    <t>Reallocate Facilities Funding to Suppression</t>
  </si>
  <si>
    <t>Wildland Fire Joint Fire Science</t>
  </si>
  <si>
    <t>Wildland Fire Summary</t>
  </si>
  <si>
    <t>Cancellation of PY Authority</t>
  </si>
  <si>
    <t>Funds for repayment of prior year borrowing</t>
  </si>
  <si>
    <t>Other Adjustments</t>
  </si>
  <si>
    <t>Carryover Transfer</t>
  </si>
  <si>
    <t>Suppression Transfer</t>
  </si>
  <si>
    <t>Transfers:</t>
  </si>
  <si>
    <t>Initial CR</t>
  </si>
  <si>
    <t>Initial CR Transfer</t>
  </si>
  <si>
    <t>WFM Enacted Funding</t>
  </si>
  <si>
    <t>Enacted Transfer Adjusted Prep, Supp, Facilities, and JFSP</t>
  </si>
  <si>
    <t>Enacted Partial Transfer BAR</t>
  </si>
  <si>
    <t>Enacted Transfer Adjusted Fuels BLM, FWS, &amp; OWF</t>
  </si>
  <si>
    <t>Dept. Initiatives Funding - CA (BLM &amp; FWS)</t>
  </si>
  <si>
    <t>Enacted Transfer Adjusted Fuels BIA &amp; NPS</t>
  </si>
  <si>
    <t>Dept. Initiatives Funding - CA (BIA &amp; NPS)</t>
  </si>
  <si>
    <t>Department-Wide Activities Project Summary</t>
  </si>
  <si>
    <t>ATB</t>
  </si>
  <si>
    <t>Preparedness Common Services</t>
  </si>
  <si>
    <t>Type</t>
  </si>
  <si>
    <t>Total with ATB Applied</t>
  </si>
  <si>
    <t>Aviation Assets</t>
  </si>
  <si>
    <t>Ops</t>
  </si>
  <si>
    <t>Collaborative Implementation (Preparedness Share)</t>
  </si>
  <si>
    <t>Support</t>
  </si>
  <si>
    <t>DOI Department-Wide Activities Prep Agreements</t>
  </si>
  <si>
    <t>Lessons Learned Center (LLC) Support (Preparedness Share)</t>
  </si>
  <si>
    <t>Lightning Detection</t>
  </si>
  <si>
    <t>Medical Standards Operations</t>
  </si>
  <si>
    <t>WFMRD&amp;A</t>
  </si>
  <si>
    <t>IT (WFIT) Projects  (Preparedness Share)</t>
  </si>
  <si>
    <t>IT</t>
  </si>
  <si>
    <t>Preparedness Designated Funding</t>
  </si>
  <si>
    <t>BIA Tribal Contract and Support</t>
  </si>
  <si>
    <t>BIA Workforce Development</t>
  </si>
  <si>
    <t>Alaska Fire Service Utility Cost Increase</t>
  </si>
  <si>
    <t>Rural Fire Readiness</t>
  </si>
  <si>
    <t xml:space="preserve"> Total Preparedness Department-Wide Activities</t>
  </si>
  <si>
    <t>CR ATB</t>
  </si>
  <si>
    <t>Fuels Management Common Services</t>
  </si>
  <si>
    <t>Collaborative Implementation (Fuels Share)</t>
  </si>
  <si>
    <t>DOI Department-Wide Activities HFR Agreements</t>
  </si>
  <si>
    <t>Lessons Learned Center (LLC) Support (Fuels Share)</t>
  </si>
  <si>
    <t>SageSTEP</t>
  </si>
  <si>
    <t>IT (WFIT) Projects  (Fuels Share)</t>
  </si>
  <si>
    <t>Fuels Management Designated Funding</t>
  </si>
  <si>
    <t>Tribal Trust Land Projects</t>
  </si>
  <si>
    <t>Total Fuels Management Department-Wide Activities</t>
  </si>
  <si>
    <t xml:space="preserve">Burned Area Rehabilitation Department-wide Activities </t>
  </si>
  <si>
    <t>BAR National Program Management</t>
  </si>
  <si>
    <t>Total BAR Department-Wide Activities</t>
  </si>
  <si>
    <t>Service Level Agreements Preparedness</t>
  </si>
  <si>
    <t>Casual Pay Center (CPC) Allocation</t>
  </si>
  <si>
    <t>Contribution</t>
  </si>
  <si>
    <t>Fire Integrated Recruitment Employment (FIRES) (Prep Share)</t>
  </si>
  <si>
    <t>Medical Standards Examinations Allocation</t>
  </si>
  <si>
    <t>Misc and One-Time Service Level Agreements Allocation</t>
  </si>
  <si>
    <t>Other</t>
  </si>
  <si>
    <t>NIFC Site &amp; Admin Allocation</t>
  </si>
  <si>
    <t>NWCG Staff Allocation</t>
  </si>
  <si>
    <t>NWCG Prep Projects Allocation</t>
  </si>
  <si>
    <t>Remote Automated Weather Station (RAWS) Allocation</t>
  </si>
  <si>
    <t>FireNET Licensing</t>
  </si>
  <si>
    <t>Total Preparedness Service Level Agreements</t>
  </si>
  <si>
    <t>Service Level Agreements Hazardous Fuels</t>
  </si>
  <si>
    <t>Fire Integrated Recruitment Employment (FIRES) (Fuels Share)</t>
  </si>
  <si>
    <t>IT (WFIT) Department-Wide Activities Project Summary</t>
  </si>
  <si>
    <t>ATB %</t>
  </si>
  <si>
    <t>Preparedness Department-Wide Activities</t>
  </si>
  <si>
    <t>ArcGIS Online (AGOL) Collector</t>
  </si>
  <si>
    <t>Contracted Resources Obligation System (CROS)</t>
  </si>
  <si>
    <t>CAD</t>
  </si>
  <si>
    <t>FIRECODE</t>
  </si>
  <si>
    <t>FIRENET</t>
  </si>
  <si>
    <t>FxNET - Advanced Weather Interactive Processing System       (AWIPSII)</t>
  </si>
  <si>
    <t>Incident Qualification &amp; Certififcation System (IQCS)                        (Prep Share)</t>
  </si>
  <si>
    <r>
      <t xml:space="preserve">INFORM </t>
    </r>
    <r>
      <rPr>
        <sz val="9"/>
        <color theme="1"/>
        <rFont val="Calibri"/>
        <family val="2"/>
        <scheme val="minor"/>
      </rPr>
      <t>(Formerly FORApp)</t>
    </r>
    <r>
      <rPr>
        <sz val="11"/>
        <color theme="1"/>
        <rFont val="Calibri"/>
        <family val="2"/>
        <scheme val="minor"/>
      </rPr>
      <t xml:space="preserve"> (Prep Share)</t>
    </r>
  </si>
  <si>
    <t>Integrated Reporting Wildfire Information (IRWIN)</t>
  </si>
  <si>
    <t>SAFENET</t>
  </si>
  <si>
    <t>WFIT Data Management (Prep Share)</t>
  </si>
  <si>
    <t>WFIT Staff &amp; Services (Prep share)</t>
  </si>
  <si>
    <t>Wildfire Decision Support System (WFDSS)</t>
  </si>
  <si>
    <t>WFMI - Fire Reporting</t>
  </si>
  <si>
    <t>WFMI - Unit ID</t>
  </si>
  <si>
    <t>WFMI - Weather</t>
  </si>
  <si>
    <t xml:space="preserve">Fuels Management Department-Wide Activities </t>
  </si>
  <si>
    <t>Active Lands Management and Shared Stewardship Solution</t>
  </si>
  <si>
    <t>FEAT/FIREMON (FFI)</t>
  </si>
  <si>
    <t>Fire Effects Information System (FEIS)</t>
  </si>
  <si>
    <t>Incident Qualification &amp; Certififcation System (IQCS) (Fuels Share)</t>
  </si>
  <si>
    <t>IFT-DSS</t>
  </si>
  <si>
    <r>
      <t xml:space="preserve">INFORM </t>
    </r>
    <r>
      <rPr>
        <sz val="9"/>
        <color theme="1"/>
        <rFont val="Calibri"/>
        <family val="2"/>
        <scheme val="minor"/>
      </rPr>
      <t>(Formerly FORApp)</t>
    </r>
    <r>
      <rPr>
        <sz val="11"/>
        <color theme="1"/>
        <rFont val="Calibri"/>
        <family val="2"/>
        <scheme val="minor"/>
      </rPr>
      <t xml:space="preserve"> (Fuels Share)</t>
    </r>
  </si>
  <si>
    <t>LANDFIRE</t>
  </si>
  <si>
    <t>Monitoring Trends in Burn Severity (MTBS)</t>
  </si>
  <si>
    <t>National Fire Plan Operations &amp; Reporting System (NFPORS)</t>
  </si>
  <si>
    <t>WFIT Data Management (Fuels Share)</t>
  </si>
  <si>
    <t>WFIT Staff &amp; Services (Fuels share)</t>
  </si>
  <si>
    <t>Request FY 2022:</t>
  </si>
  <si>
    <t>===========================================================</t>
  </si>
  <si>
    <t>Base    FY 2017</t>
  </si>
  <si>
    <t>FY 2018 Reduced Allocation based on FY 2017 less 15%</t>
  </si>
  <si>
    <t>Budgeted FY 2018 Reduced Allocation</t>
  </si>
  <si>
    <t>Actual       FY 2018 Allocation based on FY 2017 Funding Level</t>
  </si>
  <si>
    <t>FY 2019 Reduced Allocation based on FY 2017 less 20%</t>
  </si>
  <si>
    <t>Original WFIT Request for FY 2019 Allocation</t>
  </si>
  <si>
    <t>Budgeted FY 2019 Reduced Allocation</t>
  </si>
  <si>
    <t xml:space="preserve">Actual       FY 2019 Allocation </t>
  </si>
  <si>
    <t>FY 2020 Budget based on FY 2017 plus 3% inflation</t>
  </si>
  <si>
    <t>Actual FY 2020 Budget based on FY 2017 plus 3% inflation</t>
  </si>
  <si>
    <t>Original WFIT Request for FY 2021 Allocation</t>
  </si>
  <si>
    <t xml:space="preserve">Actual       FY 2021 Allocation </t>
  </si>
  <si>
    <t>Original WFIT Request for FY 2022 Allocation</t>
  </si>
  <si>
    <t>Total WFIT Funding Level</t>
  </si>
  <si>
    <t>Updated</t>
  </si>
  <si>
    <t xml:space="preserve">Budget Lead: </t>
  </si>
  <si>
    <t>Name</t>
  </si>
  <si>
    <t>BOC</t>
  </si>
  <si>
    <t>Forest Service</t>
  </si>
  <si>
    <t>Comment</t>
  </si>
  <si>
    <t>Personnel (Salaries &amp; Benefits Only)</t>
  </si>
  <si>
    <t>Gov Labor:  Job Title</t>
  </si>
  <si>
    <t>111/12*</t>
  </si>
  <si>
    <t>Subtotal Personnel</t>
  </si>
  <si>
    <t>Agreements with Federal Agencies</t>
  </si>
  <si>
    <t xml:space="preserve">Gov Agrmt: </t>
  </si>
  <si>
    <t xml:space="preserve">Gov Agrmt:  </t>
  </si>
  <si>
    <t>Gov Agrmt:</t>
  </si>
  <si>
    <t xml:space="preserve">Gov Agreement:  </t>
  </si>
  <si>
    <t>Subtotal Agreements</t>
  </si>
  <si>
    <t>Operational</t>
  </si>
  <si>
    <t>Travel and Transportation of Persons</t>
  </si>
  <si>
    <t>21*</t>
  </si>
  <si>
    <t>Transportation of Things (Freight/Shipping)</t>
  </si>
  <si>
    <t>22*</t>
  </si>
  <si>
    <t>Rent, Communications, and Utilities</t>
  </si>
  <si>
    <t>23*</t>
  </si>
  <si>
    <t>Printing and Reproduction</t>
  </si>
  <si>
    <t>24*</t>
  </si>
  <si>
    <t>Advisory and Assistance Contractual Services</t>
  </si>
  <si>
    <t>Other Non-Federal Contractual Services AT/Scoopers</t>
  </si>
  <si>
    <t>Other Non-Federal Contractual Services SEATs</t>
  </si>
  <si>
    <t>Other Non-Federal Contractual Services Helo T1</t>
  </si>
  <si>
    <t>Other Non-Federal Contractual Services Helo T2</t>
  </si>
  <si>
    <t>Other Non-Federal Contractual Services Helo T3</t>
  </si>
  <si>
    <t>Other Non-Federal Contractual Services Other</t>
  </si>
  <si>
    <t>Other Non-Federal Contractual Services</t>
  </si>
  <si>
    <t>Tuition/Training/Registration Fees</t>
  </si>
  <si>
    <t>Fleet Usage</t>
  </si>
  <si>
    <t>Research &amp; Development Contracts</t>
  </si>
  <si>
    <t>Medical &amp; Health Care Services</t>
  </si>
  <si>
    <t>Repair &amp; Maintenance of Equipment</t>
  </si>
  <si>
    <t>Supplies and Materials</t>
  </si>
  <si>
    <t>26*</t>
  </si>
  <si>
    <t>Equipment</t>
  </si>
  <si>
    <t>31*</t>
  </si>
  <si>
    <t>Project Adjustment</t>
  </si>
  <si>
    <t>XXX</t>
  </si>
  <si>
    <t>Subtotal Operational Costs</t>
  </si>
  <si>
    <t>Carryover available to defray costs</t>
  </si>
  <si>
    <t>Total Estimated Project Costs</t>
  </si>
  <si>
    <t>PROJECT NARRATIVE</t>
  </si>
  <si>
    <t>Request Summary</t>
  </si>
  <si>
    <t>Requested Change in Funding</t>
  </si>
  <si>
    <t>% Change</t>
  </si>
  <si>
    <t>Project Objectives</t>
  </si>
  <si>
    <t>Project Description</t>
  </si>
  <si>
    <t>Briefly describe FY 2021 deliverables and any budget or implementation changes from FY 2020.</t>
  </si>
  <si>
    <t>Relevant Authorities/Mandates</t>
  </si>
  <si>
    <r>
      <t xml:space="preserve">Funding Impacts </t>
    </r>
    <r>
      <rPr>
        <sz val="10"/>
        <color theme="1"/>
        <rFont val="Arial"/>
        <family val="2"/>
      </rPr>
      <t>(</t>
    </r>
    <r>
      <rPr>
        <i/>
        <sz val="10"/>
        <color theme="1"/>
        <rFont val="Arial"/>
        <family val="2"/>
      </rPr>
      <t>for Common Services only)</t>
    </r>
  </si>
  <si>
    <t>Reduction Scenario</t>
  </si>
  <si>
    <t>Briefly explain what tradeoffs would be made if funding level is not received at the requested level. At minimum, present options at FY 2020 straight-line and 5% reduction level from request.</t>
  </si>
  <si>
    <t>Overtarget Scenario</t>
  </si>
  <si>
    <t>If the total amount of the budget request has changed by over 10% from the planned amount, clearly document the reason for the increase, how the additional funding will benefit WFM program objectives, and why the increase is necessary this fiscal year.</t>
  </si>
  <si>
    <t>Preparedness &amp; Fuels Department-Wide Activities</t>
  </si>
  <si>
    <t>Collaborative Implementation</t>
  </si>
  <si>
    <t>Project Lead: Craig Leff, OWF</t>
  </si>
  <si>
    <t xml:space="preserve">Funded FTE </t>
  </si>
  <si>
    <t>.</t>
  </si>
  <si>
    <t>Gov Agreement:  FS - 50% cost-share of FTE to USFS</t>
  </si>
  <si>
    <t xml:space="preserve">WFLC Admin </t>
  </si>
  <si>
    <t>This funds 50% of the WFLC Admin position.  Funding is provided as a transfer to USFS, who maintains the contract for the FTE.</t>
  </si>
  <si>
    <t>Gov Agreement:  Purpose/Description</t>
  </si>
  <si>
    <t xml:space="preserve">Operational </t>
  </si>
  <si>
    <t>Adjusted CR Level</t>
  </si>
  <si>
    <t>Calculated</t>
  </si>
  <si>
    <t>Actual</t>
  </si>
  <si>
    <t>FY 2021 Request Amount</t>
  </si>
  <si>
    <t>FY 2022 Target Request</t>
  </si>
  <si>
    <t>Implement primary collaborative activities for WFLC.</t>
  </si>
  <si>
    <t>Funding is used to support several collaborative activities that are essential for DOI implement through Wildland Fire Leadership Council.</t>
  </si>
  <si>
    <t>FY 2022 Project Plan</t>
  </si>
  <si>
    <t xml:space="preserve">Continue supporting WFLC priority policy initiatives and goals for Smoke Management and Air Quality, Mitigating Post Fire Impacts, America Burning: WUI, and Large Landscape: Cross-boundary Framework and Criteria. </t>
  </si>
  <si>
    <t>National Cohesive Wildland Fire Management Strategy, DOI Strategic Plan, Wildland Fire Management Appropriations</t>
  </si>
  <si>
    <t>Briefly explain what tradeoffs would be made if funding level is not received at the requested level. At minimum, present options at FY 2021 straight-line and 5% reduction level from request.</t>
  </si>
  <si>
    <t>DOI Preparedness Agreements</t>
  </si>
  <si>
    <t>Gov Agreement:  Ready-Set-Go Initiative</t>
  </si>
  <si>
    <t>FS Transfer</t>
  </si>
  <si>
    <t>FS Agreement</t>
  </si>
  <si>
    <t>Gov Agrmt:  FLAME Suppression Forecasts</t>
  </si>
  <si>
    <t xml:space="preserve">Gov Agreement: </t>
  </si>
  <si>
    <t>Agency</t>
  </si>
  <si>
    <t>Gov Agreement:</t>
  </si>
  <si>
    <t>DOI share</t>
  </si>
  <si>
    <t>Balance of Account</t>
  </si>
  <si>
    <t>FS Total Portion of Program Cost</t>
  </si>
  <si>
    <t>FS Allocation of Program Funds</t>
  </si>
  <si>
    <t>FS transfer required to DOI</t>
  </si>
  <si>
    <t>Budget Lead:</t>
  </si>
  <si>
    <t>Gov Labor:  Lessons Learned Center Director</t>
  </si>
  <si>
    <t>Kelly Woods</t>
  </si>
  <si>
    <t>Gov Labor:  Lessons Learned Center Analyst</t>
  </si>
  <si>
    <t>Dotson, Travis</t>
  </si>
  <si>
    <t>Sequestration</t>
  </si>
  <si>
    <t>Estimated travel for two employees</t>
  </si>
  <si>
    <t>Supplies, and technology support</t>
  </si>
  <si>
    <t>Includes all of LLC website funding</t>
  </si>
  <si>
    <t>Project Lead:  Robbie Swofford</t>
  </si>
  <si>
    <t xml:space="preserve">Gov Labor: </t>
  </si>
  <si>
    <t>Sequester</t>
  </si>
  <si>
    <t>Advisory and Assistance Contractual Services:</t>
  </si>
  <si>
    <t>Other Non-Federal Contractual Services:</t>
  </si>
  <si>
    <t>Other: Face-to-Face with stakeholders/contractor</t>
  </si>
  <si>
    <t>USFA funding to offset costs (lightning)</t>
  </si>
  <si>
    <t>To provide, display, and maintain historcial lightning data to the fire community.</t>
  </si>
  <si>
    <t>Federal, State and Local Government Wildland Fire Management agencies, activities, and contractors use lightning detection data to (1) aid in locating potential wildland fires, (2) aid in suppressing those fires, and (3) support research for wildland fires and wildland fire suppression.  The Bureau of Land Management (BLM) supports these organization through the purchase and display of commercial lightning detection data for these specified purposes.</t>
  </si>
  <si>
    <t>BLM will contract Earth Networks to provide lightning data.  The EGP group contracted by the USDA will provide the display for the data.  The Western Regional Climate Center will store and maintain the historical data.</t>
  </si>
  <si>
    <t>Guide to Wildland Fire Origin and Cause Determination, PMS 412, April 2016, NFES 1874.  Published by the National Wildfire Coordinating Group.</t>
  </si>
  <si>
    <t xml:space="preserve">If funding was not made available as requested needed enhancments to the program to keep up with changing technology would not be accomplished at a minimum.  Loss of funding could effect the ability to historically store the data creating a gap in lightning research related to wildland fire and the ability to retrieve the data to determine if lightning was the cause of a fire in court litigation.  </t>
  </si>
  <si>
    <t>McCray</t>
  </si>
  <si>
    <t>Gov Labor:  Customer Service Representative</t>
  </si>
  <si>
    <t>Estey</t>
  </si>
  <si>
    <t>Gov Labor:  Contracting Officer</t>
  </si>
  <si>
    <t xml:space="preserve">Cell Phones </t>
  </si>
  <si>
    <t>ISSO Support</t>
  </si>
  <si>
    <t>IT Support</t>
  </si>
  <si>
    <t>Misc. Administrative</t>
  </si>
  <si>
    <t>DOI Wildland Fire Medical Standards Program seeks the following objectives: 
•   Promote and support health, wellness and safety of all DOI Firefighters.
•   Ensure arduous duty wildland firefighters are medically qualified to perform duties safely in any environment at all times without hazard to themselves or others.
•   Administer, manage and coordinate a consistent medical standards program across all DOI wildland fire bureaus.
•   Facilitate risk assessment and multi-level risk mitigation/waiver process to determine whether individuals not meeting one or more medical standards can still perform safely.
•  Utilize workforce health data to identify emerging health trends and regularly validate and update the established Medical Standards.</t>
  </si>
  <si>
    <t xml:space="preserve">DOI Occupational Medicine Program HB (485 DM 18)
5 CFR 339 - Medical Qualification Determinations </t>
  </si>
  <si>
    <t>Project Lead: Chris Buzo</t>
  </si>
  <si>
    <t>Ernstrom</t>
  </si>
  <si>
    <t>Salary</t>
  </si>
  <si>
    <t>Gov Labor:  WFDSS RD&amp;A Support GS-11/6</t>
  </si>
  <si>
    <t>McClendon</t>
  </si>
  <si>
    <t>WFMRDA cloud service contract, previously funded direct by NPS.  To be added to Dept-wide activity in 2017.  Five year contract, FY 21 will be 6th of 7 year option.</t>
  </si>
  <si>
    <t>AWS Hosting for RD&amp;A provided thru OWF</t>
  </si>
  <si>
    <t xml:space="preserve">Covers Materials required such as room rentals, notes, web support, etc. </t>
  </si>
  <si>
    <t xml:space="preserve">Update team members computers, phones, tablets, etc. </t>
  </si>
  <si>
    <t>FY 2021 Planned Amount</t>
  </si>
  <si>
    <t>FY 2022 Request</t>
  </si>
  <si>
    <t>Fuels Management Department-Wide Activities</t>
  </si>
  <si>
    <t>DOI HFR Agreements</t>
  </si>
  <si>
    <t>Project Lead: Kristy Swartz, OWF</t>
  </si>
  <si>
    <t>Budget Leads:  Stephen Elmore</t>
  </si>
  <si>
    <t>Gov Agreement:  TNC Fire Adapted Communities (FAC) Agreement</t>
  </si>
  <si>
    <t>USFS Transfer</t>
  </si>
  <si>
    <t>The Promoting Ecosystem Resilience and Fire Adapted Communities Together (PERFACT) agreement combines the previously funded FAC and PERC cooperative agreement areas into a single cooperative agreement funded via a pass-through to the USDA Forest Service and on to The Nature Conservancy that supports a portfolio of networks and strategies that bring people together to collectively identify and meet our wildfire challenges.  These include the:
1) Fire Learning Network (FLN, since 2002), fostering collaboration for restoration and fire management in landscapes across the country.
2) Prescribed Fire Training Exchanges (TREX, since 2008), providing experiential training that integrates a range of people, places, and aspects of fire.
3) Fire Adapted Communities Learning Network (FAC Net, since 2013), engaging residents and stakeholders in their communities to promote and coordinate wildfire preparedness efforts.
4) Indigenous Peoples Burning Network (IPBN, since 2016), which is accelerating fuels reduction and fire use in tribal landscapes for resiliency, fire adapted communities and cultural significance. 
These efforts support public-private place-based partnerships engaged in highly effective collaborative learning, planning, implementation, capacity-building and adaptive management, and provide opportunities to test and accelerate solutions on the ground. In the past year PERFACT has supported a Latinx engagement project in Washington state, a two-week learning exchange centered on women in fire, and capacity building through community organizing – brining people together, facilitating planning, and building connections.</t>
  </si>
  <si>
    <t>Fuels Management Agreements contribute to the goals of the National Cohesive Strategy and the DOI strategic Plan.</t>
  </si>
  <si>
    <t xml:space="preserve">Not mandated by law, but supports the Healthy Forests Restoration Act of 2003 (P.L. 108-148) and the Federal Land Assistance, Management and Enhancement Act of 2009 [P.L. 111-88, title V, section 502(b)]. </t>
  </si>
  <si>
    <t>The impact of not receiving the funding increase would reduce the fuels management program's ability to partner with States, communities, and other partners and stakeholders as well as better describe program outcomes.</t>
  </si>
  <si>
    <t>Agreement with USFS RMRS and USGS for continued outyear fuels treatment effectiveness monitoring</t>
  </si>
  <si>
    <t>Continued support of long term monitoring (15 years) of fuels treatment effectiveness and ecological effects after prescribed fire in Great Basin Sage Step.</t>
  </si>
  <si>
    <t>DOI Land Management Agencies mandates</t>
  </si>
  <si>
    <t>Burned Area Rehabilitation Department-Wide Activities</t>
  </si>
  <si>
    <t>Gov Labor:  BAR Coordinator</t>
  </si>
  <si>
    <t>NPS BAER Coordinator</t>
  </si>
  <si>
    <t>BLM BAER Coordinator</t>
  </si>
  <si>
    <t>Martinez</t>
  </si>
  <si>
    <t>BIA BAER Coordinator</t>
  </si>
  <si>
    <t>Ballard</t>
  </si>
  <si>
    <t>FWS BAER Coordinator</t>
  </si>
  <si>
    <t>USGS EROS</t>
  </si>
  <si>
    <t>InOut Board</t>
  </si>
  <si>
    <t>InOutBoard BAER Team availability tracking</t>
  </si>
  <si>
    <t>National BAER team equipment support</t>
  </si>
  <si>
    <t>Information only:</t>
  </si>
  <si>
    <t>The principal purpose of the Burned Area Rehabilitation funding activity is to protect resources by repairing or improving landscapes unlikely to recover naturally to management approved conditions within an acceptable timeframe, and to repair or replace minor assets. (Per Interior Departmental Manual 620 DM 7).</t>
  </si>
  <si>
    <t>Requested funding will provide a safe and effective post-fire rehabilitation program in support of land, natural, and cultural resource management plans through appropriate planning and treatment implementation. The program will support the development of BAR treatments that will use the best available science to ensure success and effectiveness. The program requires that Bureaus will link all ES and BAR project plans to long-term restoration needs and programs; and identify any future activities necessary for successful projects. Successful projects will return burned lands to management approved conditions.</t>
  </si>
  <si>
    <t>Departmental Manual Part 620, Chapter 7 Post-Wildfire Recovery</t>
  </si>
  <si>
    <t>Risk of long-term resource damage and degradation from wildfire. Lands will decline in productivity and value to unacceptable levels as defined and prescribed by management plan objectives and mission requirements.</t>
  </si>
  <si>
    <t>The over target scenario is not triggered by this request.</t>
  </si>
  <si>
    <t>Service-Level Agreements</t>
  </si>
  <si>
    <t>Casual Payment Center</t>
  </si>
  <si>
    <t>Project Lead: Rebecca Endicott, BLM</t>
  </si>
  <si>
    <t>Budget Lead: Molly Keating, BLM</t>
  </si>
  <si>
    <t>Rebecca Endicott</t>
  </si>
  <si>
    <t xml:space="preserve">Gov Labor:  </t>
  </si>
  <si>
    <t>Gov Agreement:  Contract: ATA Services, Inc.</t>
  </si>
  <si>
    <r>
      <t xml:space="preserve">WBS - LFSP99990000 in </t>
    </r>
    <r>
      <rPr>
        <sz val="11"/>
        <color rgb="FFFF0000"/>
        <rFont val="Calibri"/>
        <family val="2"/>
        <scheme val="minor"/>
      </rPr>
      <t>suppression</t>
    </r>
  </si>
  <si>
    <t>Gov Agreement:  AD's</t>
  </si>
  <si>
    <t>Gov Agreement: Interior Business Center (IBC)</t>
  </si>
  <si>
    <t xml:space="preserve">Preparedness LF100: </t>
  </si>
  <si>
    <r>
      <rPr>
        <b/>
        <sz val="11"/>
        <color theme="1"/>
        <rFont val="Calibri"/>
        <family val="2"/>
        <scheme val="minor"/>
      </rPr>
      <t>Preparedness LF100:</t>
    </r>
    <r>
      <rPr>
        <sz val="11"/>
        <color theme="1"/>
        <rFont val="Calibri"/>
        <family val="2"/>
        <scheme val="minor"/>
      </rPr>
      <t xml:space="preserve"> Computer Refresh</t>
    </r>
  </si>
  <si>
    <t>Carryover identified to defray project cost</t>
  </si>
  <si>
    <t>Method of Split</t>
  </si>
  <si>
    <t>Planned Cost</t>
  </si>
  <si>
    <t>Cost Split (DOI only)</t>
  </si>
  <si>
    <t>Agency share of budget</t>
  </si>
  <si>
    <t>Net to Bureaus (allocation less cost)</t>
  </si>
  <si>
    <t>DOI FIRES</t>
  </si>
  <si>
    <t>Marilyn Richardson</t>
  </si>
  <si>
    <t xml:space="preserve">Yesenia Ramirez-Gil </t>
  </si>
  <si>
    <t>Vacant</t>
  </si>
  <si>
    <t>HR Specialist, GS-9/5</t>
  </si>
  <si>
    <t>Charlie Loewen</t>
  </si>
  <si>
    <t>Colleen Finley</t>
  </si>
  <si>
    <t xml:space="preserve">Detailers </t>
  </si>
  <si>
    <t>Misc</t>
  </si>
  <si>
    <t xml:space="preserve">Extend C/S, SMKJ etc. </t>
  </si>
  <si>
    <t>Estimated Overtime (Peak Period of Work)</t>
  </si>
  <si>
    <t>Employees</t>
  </si>
  <si>
    <t>Travel/Per Diem for Detailers</t>
  </si>
  <si>
    <t>Other Non-Federal Contractual Services--MSG Hiring Mgmt</t>
  </si>
  <si>
    <t>Mandatory DE train/recert</t>
  </si>
  <si>
    <t xml:space="preserve">   Total</t>
  </si>
  <si>
    <t>Without carryover to defer</t>
  </si>
  <si>
    <t>Preparedness Service-Level Agreements</t>
  </si>
  <si>
    <r>
      <t xml:space="preserve">Other Non-Federal Contractual Services:Exam contract </t>
    </r>
    <r>
      <rPr>
        <sz val="10"/>
        <color rgb="FFFF0000"/>
        <rFont val="Arial"/>
        <family val="2"/>
      </rPr>
      <t>Suppression</t>
    </r>
  </si>
  <si>
    <r>
      <rPr>
        <sz val="11"/>
        <color rgb="FFFF0000"/>
        <rFont val="Calibri"/>
        <family val="2"/>
        <scheme val="minor"/>
      </rPr>
      <t xml:space="preserve">Suppression </t>
    </r>
    <r>
      <rPr>
        <sz val="11"/>
        <color theme="1"/>
        <rFont val="Calibri"/>
        <family val="2"/>
        <scheme val="minor"/>
      </rPr>
      <t>AD Exams + Mobile Health Events</t>
    </r>
  </si>
  <si>
    <t>Other Non-Federal Contractual Services - Preparedness</t>
  </si>
  <si>
    <t>Actual bureau obligations will be tracked and agency contributions adjusted accordingly.  WLFF Exams.</t>
  </si>
  <si>
    <t>Preparedness $$ only</t>
  </si>
  <si>
    <t>Cost Increase (Decrease)</t>
  </si>
  <si>
    <t>Preparedness Funding</t>
  </si>
  <si>
    <t>$ Change</t>
  </si>
  <si>
    <t>Suppression Funding</t>
  </si>
  <si>
    <t>Preparedness Funding by Bureau:</t>
  </si>
  <si>
    <t>$ Increase/(decrease)</t>
  </si>
  <si>
    <t>% Increase/(decrease)</t>
  </si>
  <si>
    <t>Ensure arduous duty wildland firefighters are medically qualified, in accordance with 5CFR 339 Medical Qualifications Determinations, to perform duties safely in any environment at all times without hazard to themselves or others.</t>
  </si>
  <si>
    <t xml:space="preserve">Contract is firm-fixed price. Cost is pay-per-use based on number of exams requested. Reduction in funding level could limit availability of exams and therefore limit number of medically qualified firefighters.  </t>
  </si>
  <si>
    <t>Misc and One-Time Agreements</t>
  </si>
  <si>
    <t>Project Lead:  Molly Keating, BLM</t>
  </si>
  <si>
    <t>Budget Lead:  Molly Keating, BLM</t>
  </si>
  <si>
    <t>Gov Labor:  HR Services for NPS, BIA, FWS</t>
  </si>
  <si>
    <t>Funds from BIA, NPS and FWS</t>
  </si>
  <si>
    <t>Gov Labor:  Shared External Affairs Assistant (NPS share)</t>
  </si>
  <si>
    <t>Funds from NPS</t>
  </si>
  <si>
    <t>Gov Labor:  Fire Equipment Production Manager</t>
  </si>
  <si>
    <t>FCG IAA</t>
  </si>
  <si>
    <t>FCG IAA in support of Workforce Transformation initiated for FY 2022</t>
  </si>
  <si>
    <t>Gov Agreement:  Purpose/Description   (NERV $ to FS)</t>
  </si>
  <si>
    <t>DOI to FS</t>
  </si>
  <si>
    <t>MOU funding transfer to FS for NERV $</t>
  </si>
  <si>
    <t>Cost Split (DOI only) - PREPAREDNESS</t>
  </si>
  <si>
    <t>Based on Workforce Transformation funding allocation</t>
  </si>
  <si>
    <t>Agency share of cost (HR)</t>
  </si>
  <si>
    <t>Agency share of cost (ExAffairs)</t>
  </si>
  <si>
    <t>Agency share of cost (Fleet usage)</t>
  </si>
  <si>
    <t>Agency share of cost (Equp Prod Mgr)</t>
  </si>
  <si>
    <t>Agency Share of cost</t>
  </si>
  <si>
    <t>Agency share of cost (NERV $ to FS)</t>
  </si>
  <si>
    <t xml:space="preserve">Agency share of cost </t>
  </si>
  <si>
    <t>Total Agency Preparedness share</t>
  </si>
  <si>
    <t xml:space="preserve">Misc. and one time SLA funding for BLM to assist and provide services to other agencies. </t>
  </si>
  <si>
    <t>BLM personnel will complete workload on behalf of other DOI agencies to benefit HR workload, External Affairs support and Equipment managment. The project funding also supports the Agreement/MOU transfer of money to the Forest Service for the NWCG NERV program.</t>
  </si>
  <si>
    <t>N/A</t>
  </si>
  <si>
    <t>Fuels Service-Level Agreements</t>
  </si>
  <si>
    <t>Project Lead: Stephen Elmore, OWF</t>
  </si>
  <si>
    <t>Gov Agreement:  BIA funding to FS via OWF</t>
  </si>
  <si>
    <t>Gov Agreement:  Purpose/Description (Smoke Monitoring)</t>
  </si>
  <si>
    <t>Smoke Monitor Agreement (USFS)
Smoke management and air quality monitoring of prescribed fires is becoming more important as awareness of smoke impacts increase.  Many DOI offices are being asked to monitor prescribed fire smoke by their state air quality regulators but do not own monitors or have the expertise to maintain them. The USDA Forest Service has smoke monitors in the Rocky Mountain Area Support Fire Cache (RMK) in Colorado and is willing to enter into an agreement with DOI to provide these monitors for prescribed fire operations. Currently DOI Bureaus are monitoring some prescribed fires with these cache monitors but only when DOI Bureau/USFS Service First organizations or another local agreement is in place to implement an interagency prescribed fire.  Monitors are already used for wildfires by Air Resource Advisors and are paid for consistent with the provisions of the master agreement. 
It costs approximately $5,000 per fire to use a monitor, which covers shipping to and from the incident, maintenance, and support.  Each Bureau could buy their own monitors, contract to rehab them and train staff to manage their use and the data received, however the BLM tested that approach and found that maintenance and support costs made it difficult and expensive to maintain a cache of smoke monitoring equipment at NIFC.</t>
  </si>
  <si>
    <t xml:space="preserve">Fleet Usage </t>
  </si>
  <si>
    <t>Cost Split (DOI only) - FUELS</t>
  </si>
  <si>
    <t>Agency share of cost (PFTC)</t>
  </si>
  <si>
    <t>Agency share of cost (Smoke Monitoring)</t>
  </si>
  <si>
    <t>Agency share of cost</t>
  </si>
  <si>
    <t>Total Agency Fuels Management share</t>
  </si>
  <si>
    <t>NIFC Site and Admin Costs</t>
  </si>
  <si>
    <t>Updated Amount</t>
  </si>
  <si>
    <t>DOI space management standards and life-safety codes; OSHA safety standers; builiding codes</t>
  </si>
  <si>
    <t>NWCG Program Management Unit</t>
  </si>
  <si>
    <t xml:space="preserve">Budget Lead:  </t>
  </si>
  <si>
    <t>Woods</t>
  </si>
  <si>
    <t>O'Hara</t>
  </si>
  <si>
    <t>Gov Labor:  Admin Assistant GS-9/5</t>
  </si>
  <si>
    <t>Benoit</t>
  </si>
  <si>
    <t>Gov Labor:  Instructional Syst Spec GS-11/5</t>
  </si>
  <si>
    <t>Jackson</t>
  </si>
  <si>
    <t>Gov Labor:  Training Spec GS-11/5</t>
  </si>
  <si>
    <t>Gov Labor:  Forestry Tech 11/5</t>
  </si>
  <si>
    <t>multiple</t>
  </si>
  <si>
    <t>DOI Share</t>
  </si>
  <si>
    <t xml:space="preserve">Cost Split </t>
  </si>
  <si>
    <t xml:space="preserve">Project Objectives
</t>
  </si>
  <si>
    <t>Provide professional, technical, and administrative assistance and capability to the NWCG Executive Board and the NWCG program in the accomplishment of the NWCG Mission: 
The National Wildfire Coordinating Group provides national leadership to enable interoperable wildland fire operations among federal, state, local, tribal, and territorial partners. Primary objectives include:
• Establish national interagency wildland fire operations standards. Recognize that the decision to adopt standards is made independently by the NWCG members and communicated through their respective directives systems.
• Establish wildland fire position standards, qualifications requirements, and performance support capabilities (e.g. training courses, job aids) that enable implementation of NWCG standards.
• Support the National Cohesive Wildland Fire Management Strategy goals: to restore and maintain resilient landscapes; create fire adapted communities; and respond to wildfires safely and effectively.
• Establish information technology (IT) capability requirements for wildland fire.
• Ensure that all NWCG activities contribute to safe, effective, and coordinated national interagency wildland fire operations.</t>
  </si>
  <si>
    <t>• National wildland fire operations standards for use by the NWCG members and the wildland fire community. Standards are intended for universal adoption and minimal agency-specific variation but with recognition of the autonomy of the individual member agencies.
• Position management in support of national mobilization under NIMS-ICS framework. This includes position descriptions, qualification requirements, and training and performance support capabilities. 
• Comprehensive training curriculum that includes high quality, relevant wildland fire training that supports NWCG standards, position qualification attainment, position performance, annual fire safety training, and other training needs of the national wildland fire community.
• Direction and support to NWCG committees and subgroups.
• Assistance to cooperating entities such as the Geographic Area Training Representatives and the National Advanced Fire and Resource Institute to maximize effectiveness and efficiency in all areas of wildland firefighter training.</t>
  </si>
  <si>
    <t>Funding represents staffing costs for all current positions identified under NWCG on FS and DOI TOs. A change in funding would reduce capability to accomplish the NWCG mission, which enables nationally interoperable wildland fire operations among federal, state, local, tribal, and territorial partners, and is critical to nationally coordinated wildland fire management in the United States.</t>
  </si>
  <si>
    <t>Gov Agreement:  NFA (LMS)</t>
  </si>
  <si>
    <t>Wildland Fire Learning Portal (LMS)</t>
  </si>
  <si>
    <t>Gov Agreement: Ops &amp; Trng Committee</t>
  </si>
  <si>
    <t>Gov Agreement: NWCG Staff Projects</t>
  </si>
  <si>
    <t>State Travel for Committee Work</t>
  </si>
  <si>
    <t>ITOSS</t>
  </si>
  <si>
    <t>LCMS</t>
  </si>
  <si>
    <t>O&amp;M support for IBM/Kenexa LCMS</t>
  </si>
  <si>
    <t>Hardware lifecycle replacement for hosting IBM/Kenexa LCMS</t>
  </si>
  <si>
    <t>Percentages are correct, but amounts will change based on who is determined to be the funding lead on each NWCG project.</t>
  </si>
  <si>
    <t>FS Direct Bill on MOU with OWF</t>
  </si>
  <si>
    <t>FS transfer required</t>
  </si>
  <si>
    <t>Annual SLA</t>
  </si>
  <si>
    <t xml:space="preserve">Service and support RAWS according to the interagency agreements and the Interagency Wildland Fire Weather Stations Standards &amp; Guidelines (PMS 426-3).  The accomplishment of this mission helps provide accurate and reliable environmental data for wildland fire preparedness and suppression operations, and contributes to fire fighter safety and the protection of life and property.  The RSFWSU also services and supports other special use weather and evnironmental monitoring equipment that contributes to wildland fire management, resources permitting, according to written agrements.  </t>
  </si>
  <si>
    <t>Interagency Wildland Fire Weather Station Standards &amp; Guidelines PMS 426-3</t>
  </si>
  <si>
    <t>Briefly explain what tradeoffs would be made if funding level is not received at the requested level. At minimum, present options at FY 2022 straight-line and 5% reduction level from request.</t>
  </si>
  <si>
    <t>If funding was not made available as requested, RAWS used for wildland fire would not be properly maintained.  This would cause serious gaps in fire weather reporting which would result in greater probability of loss of life and property to the fire community and public.</t>
  </si>
  <si>
    <t>FireNET</t>
  </si>
  <si>
    <t xml:space="preserve">Business Lead: </t>
  </si>
  <si>
    <t>Gov Agreement:  OCIO BPA Purchase</t>
  </si>
  <si>
    <t>OCIO Agreement</t>
  </si>
  <si>
    <t>SaaS Licenses in support of PowerApps for Business Intelligence within the FireNet Azure environment as requested by USFS to support PowerApps work.</t>
  </si>
  <si>
    <t>SaaS License Commitment for Azure Environment where FirNet is situated and certificate licensing for Website</t>
  </si>
  <si>
    <t xml:space="preserve"> </t>
  </si>
  <si>
    <t>WILDLAND FIRE FIVE YEAR CONSTRUCTION/DEFERRED MAINTENANCE PLAN SUMMARY</t>
  </si>
  <si>
    <t>PROJECT DESCRIPTION</t>
  </si>
  <si>
    <t>STATE</t>
  </si>
  <si>
    <t>BUREAU</t>
  </si>
  <si>
    <t>DOI SCORE</t>
  </si>
  <si>
    <t>COSTS</t>
  </si>
  <si>
    <t>DOI RANK</t>
  </si>
  <si>
    <t xml:space="preserve">              |--</t>
  </si>
  <si>
    <t>------------|</t>
  </si>
  <si>
    <t xml:space="preserve">              |</t>
  </si>
  <si>
    <t>Project Funding</t>
  </si>
  <si>
    <t>A&amp;E Design</t>
  </si>
  <si>
    <t>Fuels Department-Wide Activities</t>
  </si>
  <si>
    <t>Activity Name: Active Lands Management and Shared Stewardship Solution Proof of Concept Scope of Work</t>
  </si>
  <si>
    <t>Project Lead: Chris Buzo - OWF</t>
  </si>
  <si>
    <t>Justification/Comment</t>
  </si>
  <si>
    <t>Contract: Training</t>
  </si>
  <si>
    <t>Contract: Cadastral Data</t>
  </si>
  <si>
    <t>Contract: Development/Modernazation/Enhancements (DME)</t>
  </si>
  <si>
    <t>Other Contract</t>
  </si>
  <si>
    <t>Briefly describe FY 2022 deliverables and any budget or implementation changes from FY 2020.</t>
  </si>
  <si>
    <t>Gov Labor:  Job Title - Project Lead</t>
  </si>
  <si>
    <t>Erik Torres-Jacquez</t>
  </si>
  <si>
    <t>Base Funded</t>
  </si>
  <si>
    <t>Gov Labor:  Job Title - Business Lead GS13</t>
  </si>
  <si>
    <t>Skip Edel (NPS)</t>
  </si>
  <si>
    <t>Gov Labor:  Job Title - Technical Lead GS12</t>
  </si>
  <si>
    <t>Cole Belongie (USFS)</t>
  </si>
  <si>
    <t>Gov Labor:  Job Title - Training Lead GS12</t>
  </si>
  <si>
    <t>Gov Labor:  Job Title - GIS Specialist GS11</t>
  </si>
  <si>
    <t>TBD</t>
  </si>
  <si>
    <t>ESRI</t>
  </si>
  <si>
    <t>Training material publication.</t>
  </si>
  <si>
    <t>Helpdesk</t>
  </si>
  <si>
    <t>Helpdesk transferred from INFORM</t>
  </si>
  <si>
    <t>Training materials</t>
  </si>
  <si>
    <t>Computer Aided Dispatch (CAD)</t>
  </si>
  <si>
    <t>Gov Labor:  Project Manager  GS-14/8</t>
  </si>
  <si>
    <t>Fojtik</t>
  </si>
  <si>
    <t>Travel for Business Lead and Project Manager</t>
  </si>
  <si>
    <t>Bighorn Information Systems</t>
  </si>
  <si>
    <t>Maintain Currency on required certification (FAC/PPM and COR) - Moved from IRWIN</t>
  </si>
  <si>
    <t>FS Funding Provided in FY 2020</t>
  </si>
  <si>
    <t>Activity/Project Description</t>
  </si>
  <si>
    <t>Objectives:</t>
  </si>
  <si>
    <t>Narrative:</t>
  </si>
  <si>
    <t>Benefits:</t>
  </si>
  <si>
    <t xml:space="preserve">   </t>
  </si>
  <si>
    <t>Deliverables:</t>
  </si>
  <si>
    <t>Contracted Resource Obligation System</t>
  </si>
  <si>
    <t>Project Lead: Chris Buzo, OWF</t>
  </si>
  <si>
    <t>Integration with IROC.  Funded in IRWIN in FY 2018.  Project anticipated to be completed in FY 2019; therefore, no funding required in FY 2020.  Work was not completed in FY 2019; therefore funding is carried over to FY 2020.</t>
  </si>
  <si>
    <t>Carryover for CROS designated transferred to OWF in FY 2019</t>
  </si>
  <si>
    <t>Refer to CROS documentation included in Bureauwides Development folder.</t>
  </si>
  <si>
    <t xml:space="preserve">Budget Leads: </t>
  </si>
  <si>
    <t xml:space="preserve">Gov Agreement:  Fire Effects Information System (FEIS) </t>
  </si>
  <si>
    <t>Continue providing firecodes to all partners/systems as the system of record for the NWCG firecodes, which are the codes that are used to uniquely identify the incident costs within the federal and state government that are involved in wildland fire management.</t>
  </si>
  <si>
    <t>The standard fire code project identifiers are utilized by all federal wildland fire agencies in order to accurately track costs of wildland fire suppression across multiple jurisdictions.  FireCode interconnects through IRWIN to the CAD systems and it provides fire codes directly to FS and DOI financial systems through interfaces.</t>
  </si>
  <si>
    <t>Congressional mandate; fire business requirement</t>
  </si>
  <si>
    <r>
      <t xml:space="preserve">Funding Impacts </t>
    </r>
    <r>
      <rPr>
        <sz val="10"/>
        <color rgb="FF000000"/>
        <rFont val="Arial"/>
        <family val="2"/>
      </rPr>
      <t>(</t>
    </r>
    <r>
      <rPr>
        <i/>
        <sz val="10"/>
        <color rgb="FF000000"/>
        <rFont val="Arial"/>
        <family val="2"/>
      </rPr>
      <t>for Common Services only)</t>
    </r>
  </si>
  <si>
    <t>Gov Labor: Program Manager</t>
  </si>
  <si>
    <t xml:space="preserve">Gov Agreement:  OCIO Contract </t>
  </si>
  <si>
    <t>WildLand Fire ISSO</t>
  </si>
  <si>
    <t>Contract Labor:  Web Development and Admin Support</t>
  </si>
  <si>
    <t>Tara Taylor, and TBD</t>
  </si>
  <si>
    <t>Other funds available to defray costs</t>
  </si>
  <si>
    <t>DOI share (WFM)</t>
  </si>
  <si>
    <t>NOAA</t>
  </si>
  <si>
    <t>O&amp;M on existing system, BLM reimbursable agreement with NOAA. New contract runs Feb-Feb as to not coincide with end/start of FY</t>
  </si>
  <si>
    <t>FS transfer required to BLM</t>
  </si>
  <si>
    <t>The Predictive Services Units (PSU) at the Geographic Area Coordination Centers (GACC) and at the National Interagency Fire Center (NIFC) have the responsibility of predicting weather and climate patterns to fulfill their mission of supporting the wildland fire community and others with information and decision support products. NOAA/ESRL/GSL has developed AWIPS II/FX-CAVE to specifically meet the needs of each PSU. Under a prior agreement, the systems have been customized to provide Predictive Services forecasters with data sets and tools not available commercially. GSL will continue the process of identifying technologies that will be documented to assist in the transition of this system from research to operations (R2O) for the GACC PSUs and NIFC. This will include hardware upgrades to accommodate performance issues related to the higher resolution and bandwidth needs for the new satellites, numerical model output, etc. The goal is to have the system fully transitioned to a cloud-based system by Year 3. Determination of which will be determined on agency IT security requirements.</t>
  </si>
  <si>
    <t>This agreement continues the cooperation between the U.S. Department of Interior, Bureau of Land Management-National Interagency Fire Center (BLM) and the U.S. Department of Commerce, National Oceanic and Atmospheric Administration (NOAA), Earth System Research Laboratory (ESRL), Global Systems Laboratory (GSL) in support of wildland fire research, management, and suppression efforts.NOAA/ESRL/GSL has developed and maintained weather information workstations, fire weather models and observational data dissemination, delivery and visualization software for the Predictive Services forecasters at the NIFC Geographical Area Coordination Centers since 2003. Migration of the AWIPS I FX-Net and Gridded FX-Net systems to the AWIPS II/FX-CAVE Remote Client system was successfully completed in 2016. Researchers and systems support personnel at GSL continue to work closely with the NIFC management and the GACC forecasters to identify and add system enhancements and ensure the demonstration system continues to perform with a high degree of reliability.</t>
  </si>
  <si>
    <t>Authority issued under: 31 USC 1535 Economy Act of 1932, as amended. Agreement between GSL and BLM.</t>
  </si>
  <si>
    <t xml:space="preserve">Gov Labor:   Project Manager </t>
  </si>
  <si>
    <t>Bastian</t>
  </si>
  <si>
    <t xml:space="preserve">Gov Labor:  Project Management Support </t>
  </si>
  <si>
    <t>Gov Labor:  Technical SME</t>
  </si>
  <si>
    <t>Gov Agreement:  OCIO - ISSO</t>
  </si>
  <si>
    <t>SAIC</t>
  </si>
  <si>
    <t>Other Non-Federal Contractual Services: System DME - IFTDSS/FTEM</t>
  </si>
  <si>
    <t>EAS</t>
  </si>
  <si>
    <t>Other Non-Federal Contractual Services: Contract Transition?</t>
  </si>
  <si>
    <t xml:space="preserve">Other Non-Federal Contractual Services: </t>
  </si>
  <si>
    <t xml:space="preserve">Other Contract - Management Reserve </t>
  </si>
  <si>
    <t>Project Adjustment -Management Revision</t>
  </si>
  <si>
    <t>Check with Project Lead before doing FAM/OWF MOU transfer.</t>
  </si>
  <si>
    <t xml:space="preserve">2015 GAO-16-217T Agencies' Efforts to Assess Program Effectiveness                                                                                               2014 (Record of Decision) approved by the Wildland Fire Information and Technology (WFIT) Executive Board and Fire Management Board.                                                                                                                                                                                      2014 National Cohesive Wildland Fire Management Strategy.                                      
2009 Federal Land Assistance, Management, and Enhancement (FLAME) Act,                                                                               2007 GAO-07-1168 Better Information and a Systematic Process
</t>
  </si>
  <si>
    <t>Gov Labor:  Project Manager - GS 14/7</t>
  </si>
  <si>
    <t>Gov Labor:  Business Lead - GS 13/6</t>
  </si>
  <si>
    <t>Gov Labor:  Communications Support</t>
  </si>
  <si>
    <t>Contract - Development</t>
  </si>
  <si>
    <t>ITSS-2</t>
  </si>
  <si>
    <t>Contract - Operations and Maintenance</t>
  </si>
  <si>
    <t>Contract - Production Hosting</t>
  </si>
  <si>
    <t>FEDRAMP</t>
  </si>
  <si>
    <t>iRWIn Hosting (DEV, UAT, and PROD)</t>
  </si>
  <si>
    <t>SEE Separate Narrative</t>
  </si>
  <si>
    <t>Gov Labor:  Job Title:  PeopleSoft Programmer</t>
  </si>
  <si>
    <t>Guy Colwell</t>
  </si>
  <si>
    <t>Gov Labor:  Job Title:  Application Steward</t>
  </si>
  <si>
    <t>Gov Labor:  Job Title:  Business Steward</t>
  </si>
  <si>
    <t>Marley Marshall</t>
  </si>
  <si>
    <t>Gov Labor:  Job Title:  Program Manager</t>
  </si>
  <si>
    <t>DOI All Hazard</t>
  </si>
  <si>
    <t>Air Force</t>
  </si>
  <si>
    <t>Employee meeting attendance.</t>
  </si>
  <si>
    <t>Contributed Data Center costs.</t>
  </si>
  <si>
    <t>DOI Prep considering DOI All Hazard, Air Force and Army Contributions</t>
  </si>
  <si>
    <t>DOI All risk Total Contribution</t>
  </si>
  <si>
    <t>Split</t>
  </si>
  <si>
    <t>Based on %</t>
  </si>
  <si>
    <t>Air Force Contribution</t>
  </si>
  <si>
    <t>Army Contribution</t>
  </si>
  <si>
    <t>DOI and USAF share of costs</t>
  </si>
  <si>
    <t>Adjusted</t>
  </si>
  <si>
    <t>IrWIN</t>
  </si>
  <si>
    <t>Project Lead: Brandon Green, DOI</t>
  </si>
  <si>
    <t xml:space="preserve">Gov Labor:  Project Manager </t>
  </si>
  <si>
    <t>Green</t>
  </si>
  <si>
    <t>Gov Labor:</t>
  </si>
  <si>
    <t>Gov Agreement: OCIO Contracted Services A&amp;A</t>
  </si>
  <si>
    <t>2 PM and 1 BL ea @$13k</t>
  </si>
  <si>
    <t>Webmaster and communications support</t>
  </si>
  <si>
    <t>Training Materials and Guides</t>
  </si>
  <si>
    <t xml:space="preserve">Other Contract - </t>
  </si>
  <si>
    <t>Other Contract - Help Desk/Operations and Maintenance/Licenses</t>
  </si>
  <si>
    <t>FEDRAMP/ Unisys</t>
  </si>
  <si>
    <t>Other Contract - IRWIN O&amp;M Hybrid</t>
  </si>
  <si>
    <t>Contract - Data Support</t>
  </si>
  <si>
    <t>Other Contract - CAD Support</t>
  </si>
  <si>
    <t>Varied</t>
  </si>
  <si>
    <t>Maintain Currency on required certification (FAC/PPM and COR)</t>
  </si>
  <si>
    <t>Materials required such as room rentals, notes, web support, etc.</t>
  </si>
  <si>
    <t>Gov Labor:  DOI Business Lead</t>
  </si>
  <si>
    <t>Gov Agreement:  USGS/EROS (RSA) Agreement</t>
  </si>
  <si>
    <t xml:space="preserve">USGS </t>
  </si>
  <si>
    <t>USGS</t>
  </si>
  <si>
    <t xml:space="preserve">Travel would support the following kinds of travel: Possibly one trip to Sioux Falls, SD at USGS EROS, two trips to DC (meetings with USGS Associate Directors in Reston, VA., with FS FAM, and OWF) and possibly one conference. </t>
  </si>
  <si>
    <t>Other Contract - Management Reserve</t>
  </si>
  <si>
    <t xml:space="preserve">Support for supplies and materials.   </t>
  </si>
  <si>
    <t xml:space="preserve">FS contributed costs towards LANDFIRE:   Check with Project Lead before doing FAM/OWF MOU transfer as budget is estimated earlier before funding is known. </t>
  </si>
  <si>
    <t>Travel for annual MTBS meeting and CBI training.</t>
  </si>
  <si>
    <t>The MTBS budget is split between suppression and fuels.  Suppression contributes ~70% and fuels contributes ~30%.  This is collaborative effort between DOI and USFS.</t>
  </si>
  <si>
    <t>MTBS provides comprehensive and consistent remote sensing-based assessments characterizing the frequency, extent, and severity of documented large fires, regardless of ownership, in the United States, to evaluate trends in burn severity, and to monitor the effectiveness and effects of national fire policy initiatives. For more information on MTBS, go to https://mtbs.gov/.</t>
  </si>
  <si>
    <t>Project Lead:   Jason Fallon / Kristy Swartz / Henry Bastian</t>
  </si>
  <si>
    <t>Gov Labor:  Project Manager</t>
  </si>
  <si>
    <t>Gov Labor:  Detailer to serve as Technical Lead / Product Owner</t>
  </si>
  <si>
    <t>Travel costs</t>
  </si>
  <si>
    <t>Travel and Transportation of Persons (PCS)</t>
  </si>
  <si>
    <t>Other Non-Federal Contractual Services - Cloud/Security</t>
  </si>
  <si>
    <t>Other Non-Federal Contractual Services: System O&amp;M</t>
  </si>
  <si>
    <t>BAH</t>
  </si>
  <si>
    <t>Other Non-Federal Contractual Services - Management Reserve</t>
  </si>
  <si>
    <t>Project Adjustment - Management Adjustment</t>
  </si>
  <si>
    <t>115K is from FS contributed costs towards NFPORS:   Check with Project Lead before doing FAM/OWF MOU transfer.</t>
  </si>
  <si>
    <t>Provides a secure venue for firefighters to report unsafe acts relating to firefighter safety.</t>
  </si>
  <si>
    <t>The information collected is used to determine long-term trends and problem areas within the wildland fire industry. Used by wildland firefighting agencies for reporting and resolving incidents related to firefighter safety.  The existing Cold Fusion platform will not be supported in the future by DOI.</t>
  </si>
  <si>
    <t>WFDSS  -  DOI Contribution</t>
  </si>
  <si>
    <t>Gov Labor:  Project Management GS-14/8</t>
  </si>
  <si>
    <t>Gov Labor:  Summer detailers in bureaus</t>
  </si>
  <si>
    <t>Communications needs/requirements</t>
  </si>
  <si>
    <t>Contract:  Steady State O&amp;M</t>
  </si>
  <si>
    <t>Contract:  Independent Review</t>
  </si>
  <si>
    <t>Covers Materials required such as room rentals, notes, web support, etc.</t>
  </si>
  <si>
    <t>WFIT Data Management Program</t>
  </si>
  <si>
    <t>Gov Labor:  Chief Data Officer  GS-343-14</t>
  </si>
  <si>
    <t>Roshelle Pederson</t>
  </si>
  <si>
    <t>Included in WFIT Staff &amp; Services Tab</t>
  </si>
  <si>
    <t xml:space="preserve">Gov Labor:  Data Management Spec - Operations  GS-343-13 </t>
  </si>
  <si>
    <t xml:space="preserve">Gov Labor:  Data Management Spec - Technology GS-343-13 </t>
  </si>
  <si>
    <t xml:space="preserve">Gov Labor:  Data Management Spec - Knowledge  GS-343-13 </t>
  </si>
  <si>
    <t>Gov Agreement:  Web/Social Media Support</t>
  </si>
  <si>
    <t>Annual WF Data Management Meeting</t>
  </si>
  <si>
    <t>This will transition to a Data Governance Board that will include interagency business and technology members in accordance with the Evidence Act.</t>
  </si>
  <si>
    <t>Business Analyst Contract</t>
  </si>
  <si>
    <t>Contract Data Management Support (Project mgmt, standards,etc)</t>
  </si>
  <si>
    <t>Licences - Ontology and Workflow Management Tools</t>
  </si>
  <si>
    <t>Emergent Issues Funding</t>
  </si>
  <si>
    <t>Check with lead before budget transfers with FS.</t>
  </si>
  <si>
    <t>Less C/O</t>
  </si>
  <si>
    <t>WFIT Services and Staff</t>
  </si>
  <si>
    <t>Personnel</t>
  </si>
  <si>
    <t>Gov Labor:  WFIT Program Manager</t>
  </si>
  <si>
    <t>Manthei</t>
  </si>
  <si>
    <t>Split 50/50 with Forest Service</t>
  </si>
  <si>
    <t>Gov Labor:  WFIT Business Systems Architect</t>
  </si>
  <si>
    <t>Markle</t>
  </si>
  <si>
    <t>Gov Labor:  WFIT Data Integration Architect</t>
  </si>
  <si>
    <t>Pederson</t>
  </si>
  <si>
    <t>Gov Labor:  WFIT Personnel Development Lead</t>
  </si>
  <si>
    <t>Gividen</t>
  </si>
  <si>
    <t>111/115</t>
  </si>
  <si>
    <t>Agreements</t>
  </si>
  <si>
    <t>Agrmt</t>
  </si>
  <si>
    <t xml:space="preserve">Operational:  </t>
  </si>
  <si>
    <t xml:space="preserve">DOI share </t>
  </si>
  <si>
    <t>Preparedness  (66%)</t>
  </si>
  <si>
    <t>Fuels   (34%)</t>
  </si>
  <si>
    <t>Continue as Historical Fire Reporting module and the system of record for the fire occurrence data for the BIA, the BLM, and BOR and the National Park Service.</t>
  </si>
  <si>
    <t>The WFMI Historical Fire Reporting module is the system of record for the fire occurrence data for the BIA, the BLM, and BOR and the National Park Service.</t>
  </si>
  <si>
    <t xml:space="preserve">Until Data Cache completed, funds provided would allow for development, modification and enhancement for stabilization of WFMI – Historical Fire Reporting.  It will also ensure that historical data is migrated into/from the new system to ensure accurate reporting of fire history.  </t>
  </si>
  <si>
    <t>Fire business requirement; congressional</t>
  </si>
  <si>
    <t>The system is very important to the incident response for wildland fire.  If funding weren’t provided, then resource allocation, funding distribution and other critical wildland fire response activities could be significantly impacted.</t>
  </si>
  <si>
    <t>Fire business requirement</t>
  </si>
  <si>
    <t>Continue providing Unit Identifiers to all partners/systems as the system of record for the NWCG unit identifiers, which are the codes that are used to uniquely identify the organizational units within the federal and state government that are involved in wildland fire management.</t>
  </si>
  <si>
    <t>The Unit Identifiers module is the system of record for the NWCG unit identifiers, which are the codes that are used to uniquely identify the organizational units within the federal and state government that are involved in wildland fire management.</t>
  </si>
  <si>
    <t>The Unit ID module is operational to meet the needs of the fire community.  Needs met include application updates and maintenance, system maintenance, Help Desk support, and software/hardware licensing and maintenance.</t>
  </si>
  <si>
    <t>Total DOI with Supp</t>
  </si>
  <si>
    <t>Total FireNet Licensing Cost</t>
  </si>
  <si>
    <t>Microsoft O365 Power Pro User (100 @ $96/user per year)</t>
  </si>
  <si>
    <t>SaaS Microsoft Office 365 Licenses GCC licenses and active directory for FireNet environment. 4,500 licenses estimated at BLM - 555; NPS - 200; FWS - 110; BIA - 60; and FS/Affiliate - 3575, each at a avg cost of $58/license, which is a required Active Directory security license to accompany the MSO 365 license</t>
  </si>
  <si>
    <t>Audio Conf Calling GCC (200 @ $42 per user</t>
  </si>
  <si>
    <t>Salary - 26 PP.  Position transferred to NPS from OWF and increased from $134K to $151K.  Moved to WFMRD&amp;A in FY 2023 with other NPS funded WFDSS positions for consistency.</t>
  </si>
  <si>
    <t>3rd CR transfer - Additional Suppression allocation</t>
  </si>
  <si>
    <t>4th CR Funding and 30-Day Authority Transfer</t>
  </si>
  <si>
    <t>Supplemental Funding (Disaster Relief and BIL)</t>
  </si>
  <si>
    <t>Transfers to date</t>
  </si>
  <si>
    <t>30-Day Authority transfer level</t>
  </si>
  <si>
    <t>2nd 30-Day Authority Level</t>
  </si>
  <si>
    <t>2nd 30-Day Authority Transfer</t>
  </si>
  <si>
    <t>Firefighter Compensation</t>
  </si>
  <si>
    <t>Actual FY 2022 Allocation</t>
  </si>
  <si>
    <t>Workforce Transformation/Firefighter Compensation</t>
  </si>
  <si>
    <t>Full Year Omni Allocation</t>
  </si>
  <si>
    <t>FS funding to be provided through an IAA.  No SLA project funding required.</t>
  </si>
  <si>
    <t>FY 2023 Funded Aircraft</t>
  </si>
  <si>
    <t>FY 2023 Amount</t>
  </si>
  <si>
    <t>FY 2023</t>
  </si>
  <si>
    <t>FY2023</t>
  </si>
  <si>
    <t>FY 2023 Allocation</t>
  </si>
  <si>
    <t>FY 23</t>
  </si>
  <si>
    <t>Program travel for Coordinators and invitational travel</t>
  </si>
  <si>
    <t>FY 2023 Project Plan</t>
  </si>
  <si>
    <t>Project co-lead</t>
  </si>
  <si>
    <t>Activity Name: FFI</t>
  </si>
  <si>
    <t>Activity Name: Monitoring Trends in Burn Severity (MTBS)</t>
  </si>
  <si>
    <t>Gov Agreement:  NPS IAA with USGS EROS</t>
  </si>
  <si>
    <t>Gov Labor:  Center Mgr. GS-12, Step 5</t>
  </si>
  <si>
    <t>Operating Costs</t>
  </si>
  <si>
    <t>% By Agency</t>
  </si>
  <si>
    <t>Share</t>
  </si>
  <si>
    <t>Casuals</t>
  </si>
  <si>
    <t>Casual Pymt Count</t>
  </si>
  <si>
    <t>Pymt %</t>
  </si>
  <si>
    <t>Salaries:</t>
  </si>
  <si>
    <t>Operational Cost:</t>
  </si>
  <si>
    <t>Annual Cost:</t>
  </si>
  <si>
    <t>1) Provides prompt payments to DOI agency emergency hires (casuals) under AD Pay Plan (BLM, BIA, NPS, and FWS).                                              2) Processes hiring documents for casual hires.                                                                                                                                                                   3) Facilitates notification of eligibility for Federal Health Care Benefits and  processes plan selection within the Federal Personnel       Payroll System.                                                                                                                                                                                                                               4) Provides analyses reports to Agencies and Hiring Units.                                                                                                                                                5) Provides employment verifications and summaries for casual hires.                                                                                                                           6) Provides training and materials for agency use.</t>
  </si>
  <si>
    <t>DOI Casual Payment Center</t>
  </si>
  <si>
    <t>Service Level Agreements between Bureau of Land Management, Bureau of Indian Affairs, Fish &amp; Wildlife Sevice, and National Park Service.</t>
  </si>
  <si>
    <t xml:space="preserve">HR Specialist, GS-12/5 </t>
  </si>
  <si>
    <t>HR Assistant GS-07/5
(50% DOI FIRES)  (Shared with FA-220 NIFC HR)</t>
  </si>
  <si>
    <t>Activity Name: FireCode</t>
  </si>
  <si>
    <t xml:space="preserve">GSL will continue to support FX-CAVE for Predictive Services. GSL is scheduled to finish the transition to the cloud-based AWIPS system. GSL and PS will work together to customize data streams into FX-CAVE, including new data that is not currently available. </t>
  </si>
  <si>
    <t>Army IQCS</t>
  </si>
  <si>
    <t>The Incident Qualifications and Certification System (IQCS) is an interagency application that tracks qualifications, training, experience and certifications for emergency incident responders from multiple entities involved in wildland fire suppression or other emergency incident response (e.g. hurricane response, oil spills).  These entitles include the Bureau of Land Management, the US Forest Service, the Bureau of Indian Affairs, the US Fish and Wildlife Service, the National Park Service, the Nature Conservancy and DOI All-Hazard agencies, as well as the US Army and the US Air Force.</t>
  </si>
  <si>
    <t>NA</t>
  </si>
  <si>
    <t>Activity Name: IQCS</t>
  </si>
  <si>
    <t>1 PFT position</t>
  </si>
  <si>
    <t>NIFC Site and Administrative Costs</t>
  </si>
  <si>
    <t xml:space="preserve">The National Interangency Fire Center (NIFC) campus is located in Boise Idaho adjacent to the Boise Airport. NIFC is comprised of 55 acres of area which contains areas for refurbishment of fire fighting equipment, aircraft ramp operations, aircraft retardant tanker operations, as well as administrative functions serving the wildland fire mission. The campus is owned and managed by the Bureau of Land Management (BLM) and operates through governance by representatives from each agency on the campus (NPS, FWS, BIA, FS and NWS) and follows space management standards of the Department of Interior and BLM rules and guidelines on sustainable management of facilities to include not only routine operations as well as improvements to the campus facilities. This includes annual Maintenance of grounds and faciliites, upkeep, preventative maintenance and improvements of HVAC, plumbing, etc and and adminsiter remodel, upgrades and disposals. This also includes the yearly O&amp;M costs for the upkeep of the NIFC.gov website and functionality. </t>
  </si>
  <si>
    <t>Continued management and completion of improvements and annual and preventative maintenance to ensure compliance with the Department of the Interior (DOI) space standards and life-safety codes, with a goal to efficiently meet the operational requirements of the resident agencies. </t>
  </si>
  <si>
    <t>NWCG Projects</t>
  </si>
  <si>
    <t>Provide support for annual NWCG committee projects and O&amp;M commitments.</t>
  </si>
  <si>
    <t>Annual O&amp;M commitments and NWCG committee project requests are reviewed and approved/denied by the NWCG Executive Board each year. The budget staffs for the five federal agency members assist with this process. Not all approved projects are funded due to budget limitations.</t>
  </si>
  <si>
    <t>Eliminating project funding would impact current and future interagency work, as well as future functionality for the wildland fire community.</t>
  </si>
  <si>
    <t>The NWCG staff serves and reports to the NWCG Executive Board. The staff provides national leadership and direction to accomplish the NWCG mission. The primary NWCG mission is to provide national leadership to enable interoperable wildland fire operations among federal, state, local, tribal, and territorial partners. The NWCG staff’s work is primarily achieved by supporting the operations of the 17 NWCG committees and their 84 plus subgroups – the backbone of the NWCG effort.  The NWCG committees and subgroups are comprised of national leaders and subject-matter experts representing the NWCG member agencies and the various functional areas of wildland fire management. 
The NWCG staff is comprised of the program management staff and the training development staff. The program management staff provides leadership and support to the overall NWCG mission. The training development staff provides leadership and management of a comprehensive NWCG training curriculum that includes high quality, relevant wildland fire training that supports NWCG standards, position qualification attainment, position performance, annual fire safety training, and other training needs of the national wildland fire community.</t>
  </si>
  <si>
    <t>Activity Name: SafeNet</t>
  </si>
  <si>
    <t>Reflects 3% budget increase</t>
  </si>
  <si>
    <t>Fire Business Community</t>
  </si>
  <si>
    <t>Legacy Data Hosing until Data Cache / InFORM</t>
  </si>
  <si>
    <t>O&amp;M: development and support of the REST services</t>
  </si>
  <si>
    <t>Oracle License (Apex)</t>
  </si>
  <si>
    <t>Continue providing weather observation support for wildland fire organizations with information from RAWS stations throughout the US.  It also provides seasonal maintenance of weather station sensors.</t>
  </si>
  <si>
    <t xml:space="preserve">The Fire Weather module configures/enables all RAWS stations, monitors for NFDRS compliance, provides for the maintenance and ordering of station sensors/elements,  and downloads and distributes near-real-time weather observations and station descriptions from multiple sources to multiple downstream clients for use by the fire suppression community.  </t>
  </si>
  <si>
    <t>Project Lead: Glen Claypool. BLM</t>
  </si>
  <si>
    <t>Activity Name: AGOL &amp; Collector</t>
  </si>
  <si>
    <t>Kathie Hansen (NPS MWR)</t>
  </si>
  <si>
    <t xml:space="preserve">FTE to provide training assistance, workflow development, testing, user management and help desk support. </t>
  </si>
  <si>
    <t>Activity Name: Fire Effects Information System (FEIS)</t>
  </si>
  <si>
    <t xml:space="preserve">The Fire Effects Information System (FEIS) is an online collection of reviews of the scientific literature about fire effects on plants and animals and about fire regimes of plant communities in the United States. FEIS reviews are based on thorough literature searches, often supplemented with insights from field scientists and managers. FEIS provides reviews that are efficient to use, thoroughly documented, and defensible. FEIS is used extensively by the fire, fuels management and fire rehabilitation program community to help plan for wildland fire and its effects as related to ecosystem restoration, conservation and resiliency.  The funding will provide an increase in the quality of fire effects information.  </t>
  </si>
  <si>
    <t xml:space="preserve">FEIS supports core values of transparency, participation, collaboration, and accountability by making available online, in a single website, scientific information that is used for making management plans and decisions. FEIS increases Agency efficiency because every FEIS review provides information that hundreds of Agency staff will use for years to come, thus helping the Agency accomplish core business despite declining budgets. Use of FEIS reviews and syntheses saves managers and planners hundreds of hours each year as they prepare fire management plans, assess the potential effects of fuel treatments and prescribed fires, and analyze the need for postfire restoration and rehabilitation. </t>
  </si>
  <si>
    <t>The Fire Effects Information System (FEIS) is an online collection of more than 1,100 literature reviews (i.e., syntheses) that describe wildland fire effects on individual species and fire regimes of individual plant communities. FEIS publications provide science-based information for fire and natural resource management. They save time for managers and planners by making science-based information easily accessible, which facilitates compliance with Federal Law (e.g., NEPA, ESA, etc.), agency policy, and interagency guidance (e.g., Cohesive Strategy) in order to meet the strategic goals of the DOI and Bureaus.</t>
  </si>
  <si>
    <t>•	Publish new and update older syntheses (Species Reviews, Fire Regime Syntheses, and/or Fire Studies), providing an improved science basis for fire planners &amp; managers, other resource specialists, and the public.
•	Present 5 classes, posters, webinars, etc. to agency staff, scientists, students, and/or public so more potential users know about FEIS &amp; how to use it. 
•	Maintain and keep the FEIS user interface and database so that users can access management syntheses.</t>
  </si>
  <si>
    <t>FEIS helps managers comply with the mandated requirement to use the best available science in fire and resource management as set forth in Federal mandates such as NEPA, agency directives, and formal interagency collaborative agreements such as specified in the Cohesive Strategy.</t>
  </si>
  <si>
    <t>Funding at a reduced level does not meet adequate partnership investment.  Lack of centralized system for aggregating and evaluating a substantial volumen of peer-reviewed literature would lead to loss of knowledge and create significant inefficiencies as employees either attempt to accomplish at local level or no longer use the best available science.  Funding from DOI has largerly remained static for several years with the given costs supporting O&amp;M.</t>
  </si>
  <si>
    <t>Maintain Currency on required certification</t>
  </si>
  <si>
    <t xml:space="preserve">NOTE:  This funding amount does not reflect the full FS contributions for IFTDSS.  FS has been providing annually 500k for support with the WFMRDA and Univeristy of Idaho Agreement. </t>
  </si>
  <si>
    <t>Including Over-target request</t>
  </si>
  <si>
    <t>Continue functionality development (FMIS, FIRESTAT).  BLM interim contract and hold remaining funding in Parent.  Upgrading to own environment, and continue functionality development (FMIS, FIRESTAT)</t>
  </si>
  <si>
    <t xml:space="preserve">Hosting serivces for 4 environments, Managed Services, Patching, and Software Updates (moves IRWIN from IaaS to PaaS). </t>
  </si>
  <si>
    <t>Briefly describe FY 2023 deliverables and any budget or implementation changes from FY 2020.</t>
  </si>
  <si>
    <t>Budget Leads:  Stephen Elmore / Kim Salwasser/Martha Watkins</t>
  </si>
  <si>
    <t xml:space="preserve">2015 GAO-16-217T Agencies' Efforts to Assess Program Effectiveness                                                                                             2014 in connection with IFTDSS with the 2014 National Cohesive Wildland Fire Management Strategy.                                                                                                2013 GAO-13-684 Improvements Needed in Information, Collaboratoin, and Planning                                                                                               
2007 GAO-07-1168 Better Information and a Systematic Process                                                                                                     2003 GAO-03-1047 Technologies Hold Promise for Wildland Fire Management, but Challenges Remain                                               Congressionally mandated requirement for accountability in the National Fire Plan (Keypoint 5).  The Healthy Forests Initiative (or HFI) and the Healthy Forests Restoration Act of 2003 (P.L. 108-148) 
</t>
  </si>
  <si>
    <t>FS Allocation of Program Fund</t>
  </si>
  <si>
    <t>Data Mgmt - 10</t>
  </si>
  <si>
    <t>Budget Leads: Stephen Elmore / Kim Salwasser / Martha Watkins</t>
  </si>
  <si>
    <t>Moved to WFIT Staff Tab</t>
  </si>
  <si>
    <t>FS Funding level based on 50% contribution</t>
  </si>
  <si>
    <t>Budget Lead:  Martha Watkins, OWF</t>
  </si>
  <si>
    <t>Budget Lead: Martha Watkins, OWF</t>
  </si>
  <si>
    <t>Project Lead:  Marilyn Richardson, BLM</t>
  </si>
  <si>
    <t>Project Lead:  Kaili McCray, OWF</t>
  </si>
  <si>
    <t>Budget Leads:  Bret Amick, OWF</t>
  </si>
  <si>
    <t>Project Lead: Robert Swofford, BLM</t>
  </si>
  <si>
    <t>Project Lead: Erik Torres-Jacquez, NPS</t>
  </si>
  <si>
    <t>Project Lead: Shannon Tippett, BLM</t>
  </si>
  <si>
    <t>Budget Lead:  Robyn Post, BLM</t>
  </si>
  <si>
    <t>Project Lead: Nick Nauslar, BLM</t>
  </si>
  <si>
    <t>Budget Leads:  Stephen Elmore / Kim Salwasser / Martha Watkins</t>
  </si>
  <si>
    <t>Project Lead: Michael Pena, BLM</t>
  </si>
  <si>
    <t>Project Lead: Roshelle Pederson, DOI</t>
  </si>
  <si>
    <t>Budget Lead:  Chris Markle, DOI</t>
  </si>
  <si>
    <t>Project Lead: Chris Markle, DOI</t>
  </si>
  <si>
    <t>Project Lead:  John Noneman, BLM</t>
  </si>
  <si>
    <t>Project Lead:   John Noneman, BLM</t>
  </si>
  <si>
    <t>Gov Agreement:  Wildfire Prevention Spatial Assessment and Planning Strategies (WPSAPS)</t>
  </si>
  <si>
    <t>Activity Name: Wildfire Prevention Spatial Assessment and Planning Strategies (WPSAPS)</t>
  </si>
  <si>
    <t>Project Lead: Sam Scranton, BIA</t>
  </si>
  <si>
    <t>Mariha Gage</t>
  </si>
  <si>
    <t>Hailey Reyna</t>
  </si>
  <si>
    <t>HR Specialist/Program Manager, GS-13/4</t>
  </si>
  <si>
    <t>HR Assistant, GS 07/5  (FPL 7)</t>
  </si>
  <si>
    <t>Jenny Hugi</t>
  </si>
  <si>
    <t>Cheryl Cramer</t>
  </si>
  <si>
    <t>Need to update number of payments processed (2018-2022).</t>
  </si>
  <si>
    <t>Gov Labor:  Coordinator GS-13/3</t>
  </si>
  <si>
    <t>Falcon</t>
  </si>
  <si>
    <t>Gonzalez</t>
  </si>
  <si>
    <t>Drinkwater</t>
  </si>
  <si>
    <t>Maier</t>
  </si>
  <si>
    <t>Frey</t>
  </si>
  <si>
    <t>Gov Labor:  Training Spec GS-11/1</t>
  </si>
  <si>
    <t>Schindel</t>
  </si>
  <si>
    <t>Gov Labor:  Illustrator GS-11/9</t>
  </si>
  <si>
    <t>Gov Labor:  Writer/Editor GS-9/10</t>
  </si>
  <si>
    <t>Brooks</t>
  </si>
  <si>
    <t>Gov Labor:  Writer/Editor GS-9/6</t>
  </si>
  <si>
    <t>Wisner</t>
  </si>
  <si>
    <t>RSFWSU (RAWS)  FWS, NPS, &amp; BIA</t>
  </si>
  <si>
    <t>Activity Name:  WFMI - Fire Reporting</t>
  </si>
  <si>
    <t>Activity Name:  WFMI - Unit ID</t>
  </si>
  <si>
    <t>Activity Name:  WFMI - Weather</t>
  </si>
  <si>
    <t xml:space="preserve"> $50K for Hardware lifecycle equipment purchases. </t>
  </si>
  <si>
    <t>All interagency users utilize the Help Desk as the initial point of contact to address server, equipment, and applications issues.  Contributing $50K to Help Desk Contract. Previous years contribution was only 22K.</t>
  </si>
  <si>
    <r>
      <t>TOTAL FUNDING COMBINING FY23 WFMI WEATHER AND FY22 WFMI LIGHTNING for  FY23:  16K A&amp;A; 41K Weather station maintenance; 58K O&amp;M;  continued WFMI stabilization 151K.  Please see "over target" description below for more details.</t>
    </r>
    <r>
      <rPr>
        <b/>
        <sz val="11"/>
        <rFont val="Calibri"/>
        <family val="2"/>
        <scheme val="minor"/>
      </rPr>
      <t>*Amendment Requesting additional 40K in funding for WFMI Stabilization due to NIFC Dev Ops Contract  for a total amount of $191K for WFMI stabilization</t>
    </r>
  </si>
  <si>
    <t>Original Request Cost Components</t>
  </si>
  <si>
    <t>FY22 Lightening</t>
  </si>
  <si>
    <t>FY23 Weather</t>
  </si>
  <si>
    <t>Total Combined Amount</t>
  </si>
  <si>
    <t>ITOSS - Now Help Desk Contract</t>
  </si>
  <si>
    <t>A&amp;A</t>
  </si>
  <si>
    <t>Weather Station Maintenance</t>
  </si>
  <si>
    <t>O&amp;M &amp; Maintenance</t>
  </si>
  <si>
    <t>WFMI Continued Stabilization</t>
  </si>
  <si>
    <t>Gov Labor:  Database Administrator - 50% funded by IQCS</t>
  </si>
  <si>
    <t>Randall Woodworth</t>
  </si>
  <si>
    <t>Woodworth spends 50% of time on IQCS and on additional Fire IT applications. Position has been vacant for 4 years  and filled in January of 2022.</t>
  </si>
  <si>
    <t>Gov Labor:  Branch Chief - 25% funded by IQCS</t>
  </si>
  <si>
    <t>Shannon Tippett</t>
  </si>
  <si>
    <t>This amendment added Branch Chief  labor to Request in accordance with approved FY23 WFIT spend plan. IQCS began funding labor for BC due to extensive support received from BC. Funding 25% of labor.</t>
  </si>
  <si>
    <t>Gov Labor:  Budget Analyst - 25% funded by IQCS</t>
  </si>
  <si>
    <t>This amendment added Budget Analyst labor to Request in accordance with approval FY23 WFIT spend plan. IQCS began funding labor for BA due to extensive support  received from BA. Funding 25% of labor.</t>
  </si>
  <si>
    <t>Full Time IQCS</t>
  </si>
  <si>
    <t xml:space="preserve">Continue maintain the IQCS legacy platform for the next few years while development of IQCS 2.0 is being accomplished.  </t>
  </si>
  <si>
    <t>Activity Name:  FxNET</t>
  </si>
  <si>
    <t>*</t>
  </si>
  <si>
    <t>Oracle Licenses, includes increased Java Licensing Cost</t>
  </si>
  <si>
    <t>Maintain FireCode and ensure its operation meets the needs of the greater wildland fire community. Perform annual updates to the interconnection with IRWIN. Perform upgrades that will enhance FireCode systems ability to prevent dupcliates and other potentials for error.</t>
  </si>
  <si>
    <t>Activity Name:  SageSTEP Monitoring</t>
  </si>
  <si>
    <t>Activity Name:  Wildland Fire LLC Support</t>
  </si>
  <si>
    <t>Project Lead: Kelly Woods, NPS</t>
  </si>
  <si>
    <t>New hosting contract in FY 2022.  Web hosting contract.</t>
  </si>
  <si>
    <t>Activity Name:  RD&amp;A Support</t>
  </si>
  <si>
    <t>To be filled</t>
  </si>
  <si>
    <t>Procurement remains a significant bottleneck to obligating BAR funding department-wide.  Utilizing BAR-BIL funds to hire two interagency contracting officers to support procurement workloads for post-wildfire implementation</t>
  </si>
  <si>
    <t xml:space="preserve">Activity Name:  Burned Area Rehabilitation </t>
  </si>
  <si>
    <t>Activity Name:  Burned Area Rehabilitation ~ BIL Funding</t>
  </si>
  <si>
    <t>Budget Lead: Ben Sitz, BLM (Acting)</t>
  </si>
  <si>
    <t>This Interagency Agreement establishes cooperation between OWF and the USDA Forest Service, Southern Research Station to provide forecasting of federal wildfire suppression expenditures. This includes the development and maintenance of outyear, FLAME and monthly forecast and other activities as agreed.
POC: Stephen Elmore</t>
  </si>
  <si>
    <t xml:space="preserve">AGOL Support Tech (Additional) </t>
  </si>
  <si>
    <t>Contractor TBD</t>
  </si>
  <si>
    <t>Project Lead:  Jaymee Fojtik - DOI;
Elise Hawes - USFS</t>
  </si>
  <si>
    <t>Gov Agreement:  OCIO ISSO</t>
  </si>
  <si>
    <t>Johnson</t>
  </si>
  <si>
    <t>Security A&amp;A and ATO process.</t>
  </si>
  <si>
    <t>Contract - Cloud Hosting</t>
  </si>
  <si>
    <t>SAIC FedRAMP/OWF ENT AWS Hosting</t>
  </si>
  <si>
    <t>Deploy technical refresh and update to WildCAD software, WildCAD-E. Maintain CAD currency to operate in the Enterprise Data Exchange Environment, host the capability in a FedRamp AWS cloud environment and support annual orientation/training for administrators and dispatchers.</t>
  </si>
  <si>
    <t>WildCAD is a licencesd based COTS software solution that includes access to software, installation, training, travel, helpdesk and currency on data integration within the wildland fire enterprise.  This program provides Computer Aided Dispatch (CAD) capability to the local initial attack dispatch centers as the initial data entry point for wildland fire and all hazard incident information.  CAD is a critical tool in day to day operations at dispatch centers to create a standard and effective process to enter information into one system and having it populate many other systems using the data exchange environment. Using a CAD in the Data Exchange Service allows dispatchers to focus on their initial attack dispatcher duties which increases situational awareness to fire fighters in the field.  Reduces redundant entry of data, increases data accuracy and data availability.</t>
  </si>
  <si>
    <t>Maintain currency with the Data Exchange Service with the annual release of IRWIN, continue to support the integration of fire fighting resources by exchanging data from/to CAD and IROC, develop and deliver annual orientation/training for site administrators and dispatchers. Deployment of WildCAD-E in the Spring of 2023.</t>
  </si>
  <si>
    <t>Business Support Services</t>
  </si>
  <si>
    <t>Activity Name:  IFTDSS/FTEM/FMSF</t>
  </si>
  <si>
    <t xml:space="preserve">Principal:                                                                                                                                                                                                                                       1.  Supporting IFTDSS/FTEM and FMSF projects.                                                                                                                                                                                                                                                                                                                                                               A). IFTDSS provides interagency users with a secure, web-based, service-oriented architecture that organizes existing software tools into an integrated framework, making fuel treatment planning and analysis more effective, efficient and defensible.
i. - IFTDSS provides interagency users the ability to access many different fire and fuels management software tools from a single web-based portal.
ii. - IFTDSS provides users with access to authoritative data resources and tools improving accuracy of information-using a standards-based approach.
iii. - IFTDSS enables the linkage of a variety of existing, independent models of vegetation information, fire behavior, fire effects, fuel treatment, and risk assessment that saves the user time and costs.                                                      A).  FMSF provides interagency users with a secure Model as a Service (MaaS) for machine to machine (or system to system) connections with a web-service/RESTful API.                                                                                               i. FMSF provides hosted wildland fire behavior and effects models and tools for use within other systems or applications.                                                                                                                                                                     ii. FMSF provides users with improved performance, consistent data, and faster analysis resulting in  reduced IT development and maintenance needs by hosting the models/tools in one service instead of each system/application independently building and maintaining the same models/tools.
</t>
  </si>
  <si>
    <t xml:space="preserve">Impact if majority of funding is not received:  
The contracts would be shut down and the system would no longer be maintained.  If cloud contract funding were not available, the system would not be accessible.  Fuel Treatments interactions with wildfires through the FTEM module would need a new platform.  Agency Administrators would not have science-based data and modeling to support their decisions with data results from inputs and outputs that inform outcome to impact decisions.  Not providing for regularly updated data for modelling leads to decreased awareness for decision making and allocation of resources for executives as this dataset is foundational to numerous geo-spatial architecture systems for land management agencies and programs.
Specifics if funding is not received:  The addition of planning, analysis, and modeling functionality to demonstrate fuel treatment effectiveness and efficiencies would not be completed and resultant work would not be as defensible or completed in a common framework across the agencies/bureaus but would continue to sit on individual computers.    
Critical components with IFTDSS are the shared relationships with the following investments: 
1.	The fire models and tools (FlamMap, Farsite, etc…) are an essential function of IFTDSS that would be provided via the Fire Modeling Services Framework (FMSF).  This modeling/data services relationship with FMSF structures things so IFTDSS, WFDSS, and other systems do not need to build this functionality individually within their systems. 
2.	These models and tools cannot function without the LANDFIRE program that provides the landscape data and a service that “serves” that data to the FMSF. 
3.	An essential system component is the weather service which “serves” weather data (e.g. gridded weather to the FMSF). </t>
  </si>
  <si>
    <t>This funding supports the contracted costs of the contracts (cloud and system) and these WFM objectives:                                                                                                                                                     IFTDSS/FTEM  &gt;                                                                                                                                             1.   FTEM - Continued enhancements and improvements.
2.   Development work in IFTDSS for the planning cycle with additional workflows leveraging added tools/models/data (e.g. smoke management) monitoring &amp; reporting (comparisons) functionality, Group Workspaces, and finishing burn planning and Complexity Analysis.   
3.   User training support.                                                                                                                                                                                                              4.   Standard planning framework for fuels management projects (treatment) 
5.   Risk Assessment Workflow Implementation for standardized work across agencies.                                                                         5i.  Rounding out Risk "Compare" functionality and reports.                                             
6.   Perform analyses and assessments for use in the decision-making process.                                                                                                                 7.   Modeled Analyses on fuel treatment effectiveness going beyond the simple yes or no that the treatment was effective.                                                                                   
8.   Finish development on Prescribed Burn planning functionality with complexity analysis toward final plans and reports. 
                                                                                                                                                                                                                                                                                                         FMSF &gt;                                                                                                                                                SHORT LIST:​
Primary:  Smoke (Hysplit, BlueSky), Behave+, FFI, FuelCalc​
Secondary: FireFamily Plus (FF+), Fire Emission Production Simulator (FEPS), WindNinja​
LONG LIST:​
QUIC-Fire, CALMET / CALPUFF, V-Smoke, Fire and Tree Mortality (FTM) database, Fire Effects Information System (FEIS), FireStem, Forest Vegetation Simulator (FVS) / Fuels and Fire Extension (FFE), My Fuel Treatment Planner (MyFTP), National Fire Danger Rating System (NFDRS)</t>
  </si>
  <si>
    <t>Project Lead: Brandon Green / Andy Kirsch / BJ Glesner / Kristy Swartz</t>
  </si>
  <si>
    <t>Activity Name:  InFORM</t>
  </si>
  <si>
    <t>Gov Labor:  Detailer to serve as Technical Lead / Product Owner for Nextgen NFPORS</t>
  </si>
  <si>
    <t>Gov Labor:  Nextgen NFPORS Over-target Detailers</t>
  </si>
  <si>
    <t xml:space="preserve">Detailers ...... Technical individual(s) needed to be the product owner to direct the vendor on the gov. requirements and acceptance of deliverables.  </t>
  </si>
  <si>
    <t xml:space="preserve">OVER-TARGET amount of $25K in Parent.  May need additional detailers. </t>
  </si>
  <si>
    <t xml:space="preserve">Some funding ......  (estimate 50k to start) will be needed for training users in next generation NFPORS fuel/post fire application module. </t>
  </si>
  <si>
    <t>Fuels Management: Finalize Minimum Viable Product (MVP) supporting BIA data entry and access, add functionality to include remaining Bureaus, begin work to add post-fire.</t>
  </si>
  <si>
    <t>Work and funding are shifting from NFPORS "current" to INFORM-Fuels and Post-fire to incorporate Wildfire, Fuels, and Post-fire reporting into a single application (InFORM).</t>
  </si>
  <si>
    <t>Project Leads: Henry Bastian / Jim Menakis</t>
  </si>
  <si>
    <t>Activity Name:  LANDFIRE</t>
  </si>
  <si>
    <t>2004 - Wildland Fire Leadership Council (WFLC) Sponsor and signed charter with FAM and OWF.                                                                                                                                                                                     2009 - Federal Land Assistance, Management, and Enhancement (FLAME) Act.                                        2014 - National Cohesive Wildland Fire Management Strategy                                                                  2018 - Omnibus Act of 2018 – Risk mapping products                                                                                 2019 - Dingell Act – Section 1114(e)(1) Wildland Fire Decision Support and Section 1114(h)(1) Post-fire Erosion Database                                                                                                                                                                               2001 - GAO-01-1022T  The National Fire Plan, federal agencies are not organized to effectively and efficiently implement the plan.                                                                                                                                                                                 2002 - GAO-02-259  Leadership and Accountability Needed to Reduce Risks to Communities and Resources                                                                                                                                                                              2002 - GAO-02-158  Improved Planning Will Help Agencies Better Identify Fire-Fighting Preparedness Needs                                                                                                                                                                                     2003 - GAO-03-805   Wildland fire management: Additional actions required to better identify and prioritize lands needing fuels reduction.                                                                                                                                                                      2004 - GAO-04-705   Wildland Fires: Forest Service and BLM Need Better Information and a Systematic Approach for Assessing the Risks of Environmental Effects.                                                                                                                                                                                  2005 - GAO-05-627T Wildland Fire Management: Progress and Future Challenges, Protecting Structures, and Improving Communications.                                                                                                                                                                   2006 - GAO-06-671R  Cohesive Wildland Fire Strategy</t>
  </si>
  <si>
    <t>There is neglible change from the year to year approved FY2022 vs. FY2023.  That some adjustments could be made if needed but some products listed above in the FY 2023 Project Plan may be cut and the difficult transition to move to annual updates after just getting started may be put in jeopardy. Management direction in 2017 and following years within DOI resulted in budget decreases that severely impacted the LANDFIRE program to deliver the LF 2016 remap project which ultimately resulted in increased costs and extended schedule with remap. Similar effects would be realized here if budget is reduced to far. Direct impacts will be felt in WFDSS, IFTDSS, FMSF, WFIPS, FSIM, etc.                                                                                                                                                                                                                                               There is a significant risk that the continued budget reductions that have occured over the past couple of year will result in a difficult transition to the LF update schedule (annual or biennial updates) given contracted staff will not be in place.  Direct impacts will be felt in WFDSS, IFTDSS, FMSF, WFIPS, FSIM, etc.                                                                                                                                                                 Impact if majority of funding is not received: The contracts would be shut down and the program would not be maintained.  Users would have to rely on the last version of LANDFIRE data and then work to provide updates to the data to reflect more current conditions.  This individualized / local approach would create inconsistencies in the data.  Agency Administrators would not have science-based data to support and inform their outcome to impact decisions.                                                                                                          • Loss of regularly updated data for modelling leads to decreased awareness for decision making and allocation of resources for executives as this dataset is foundational to numerous geo-spatial architecture systems for land management agencies and programs.                                                                                     • Assessments, analyses, environmental compliance, accountability, and effectiveness will be difficult to accomplish in applications, models, and tools (e.g. WFDSS, IFTDSS, FMSF, WFIPS, FSIM - strategic and tactical decision support) without updated and remapped data.                                                                        • Cost savings on wildland fire suppression due to modified tactical decisions based upon better informed fire progression and spread predictions using updated and remapped LANDFIRE data.                                           • Updated and remapped LANDFIRE data supports Congressional and Government Accountability Office (GAO) direction to produce consistent national inventory data for improving the prioritization of fuel projects, landscape evaluation, planning, monitoring, and reporting.                                                                                • Updated and remapped LANDFIRE data supports all three national goals of the National Wildland Fire Cohesive Strategy.</t>
  </si>
  <si>
    <t>FY 2022 amount for Prescribed Fire Training Center funding for FY 2021 and FY 2022; FY 2023 for only FY 2023</t>
  </si>
  <si>
    <t>Mandatory &amp; Developmental Training</t>
  </si>
  <si>
    <t>Office Support</t>
  </si>
  <si>
    <t>Provide leadership for all DOI fire bureaus on priority issues of health, wellness and safety. Support on-going operations of National DOI contract for medical qualification services. Ensure continuity of DOI national firefighter medical exam and clearance process for all positions requiring medical clearance for arduous duty and/or pre-fitness screening.</t>
  </si>
  <si>
    <t>Anticipated project deliverables include:
•   Prioritization, coordination and leadership on key health, wellness and safety issues impacting firefighters.
•   Ensure readiness and performance of national medical qualification services contractor.
•   Ensure continuity of DOI national firefighter medical exam and clearance process for all positions requiring medical clearance for arduous duty and/or pre-fitness screening.</t>
  </si>
  <si>
    <t>Activity Name: Medical Standards Exams</t>
  </si>
  <si>
    <t>Activity Name:  DOI Medical Standards Operations</t>
  </si>
  <si>
    <t xml:space="preserve">NFPORS was created through the National Fire Plan to provide documentation of data where known data gaps existed within the Wildland Fire Management Program. Information contained within NFPORS includes: hazardous fuels reduction, burned area rehabilitation, and community assistance activities and treatments.  Additionally, NFPORS capabilities capture data on non-national fire plan vegetation that meet fuels reduction objectives in reducing wildfire risk. NFPORS provides the Department and its agencies with a platform for data entry including geospatial, data archiving for planned, and accomplished reporting in order to accurately and consistently report annual performance measures.                                                                                                                                                                                                                                              
                                                                                                                                                                                                                     Current deliverables include data, dashboards, and reports on fuels reduction, emergency stabilization efforts, burned area rehabilitation, and community assistance activities and treatments as well as non-national fire plan vegetation and fuels related activities. NFPORS provides data archives on planning, tracking, and reporting accomplishments including polygons for accomplished fuels management and burned area rehabilitation treatments.  NFPORS provides the most accurate and consistent data to report annual performance measures for the DOI Strategic Plan and other performance metrics.       </t>
  </si>
  <si>
    <t xml:space="preserve">Principal Plan:  Continue support of NFPORS legacy system; while nextgen effort continus through InFORM.                                                           Support legacy system with data, dashboards,and reports on fuels reduction, emergency stabilization efforts, burned area rehabilitation, and community assistance activities and treatments as well as non-national fire plan vegetation and fuels related activities. Provide these data on planning, tracking, and reporting accomplishments including polygons for accomplished fuels management and burned area rehabilitation treatments to provide the most accurate and consistent data to report annual performance measures for the DOI Strategic Plan and other performance metrics.  </t>
  </si>
  <si>
    <t>Impact if majority of funding is not received:  
The contracts would be shut down and the system would no longer be maintained.  If cloud contract funding were not available, the system would not be accessible.  Executives and Agency Administrators would not have data to support performance measures and various inquires.  
Specifics if funding is not received:  As funding decreased this could likely cause data gaps regarding fuels management, community assistance, and burned area rehabilitation activities.  NFPORS is the best we have today for data and reporting.  DOI would not have data and information available for tracking and reporting planned and actual accomplishments.  NFPORS is the official data source and is the most accurate and consistent data to report annual performance measures for the DOI Strategic Plan and other performance metrics.</t>
  </si>
  <si>
    <t xml:space="preserve">Planned amount is what we have for exisiting contracts.  
Provides consistent information across USDA FS, US DOI Bureaus, and States </t>
  </si>
  <si>
    <t>Activity Name:  NFPORS</t>
  </si>
  <si>
    <t xml:space="preserve">                -  </t>
  </si>
  <si>
    <t xml:space="preserve">             -  </t>
  </si>
  <si>
    <t xml:space="preserve">          -  </t>
  </si>
  <si>
    <t> </t>
  </si>
  <si>
    <t>Gov Agreement: OCIO-ISSO</t>
  </si>
  <si>
    <t xml:space="preserve">               -  </t>
  </si>
  <si>
    <t>Security A&amp;A and ATO process; DOI will be paying for security work.</t>
  </si>
  <si>
    <t>Gov Agreement:  Data</t>
  </si>
  <si>
    <t>Contract:Cloud Hosting</t>
  </si>
  <si>
    <t>The WFDSS application is a data rich, map-centric application that graphically displays information in order to provide as  much information as possible to agency administrators, line officers, fire managers, and analysts as they move through the risk informed decision process to manage a wildfire. WFDSS integrates the various applications used to manage incidents into a single system, which streamlines the analysis and reporting processes.</t>
  </si>
  <si>
    <t>Technical refresh (Next Gen) to make the application more intuitive, linear, scalable, easier to use and progressively responsive to changing fire complexity and updates in technology. Promotes compliance with the requirements of the Dingell Act (P.L. 116-9).</t>
  </si>
  <si>
    <t>FY 2023 hosting in the SAIC FedRAMP/OWF ENT AWS Hosting. S3 for EGP for recovery of ETL's and the National Incident Feature Service.</t>
  </si>
  <si>
    <t>Adjust project cost from OWF to NPS in FY 2022.  Need to retain this in FY23 as the use and support requirements for managing the Open Data Site are increasing as use increases.  Also, we need support for the WFIT PB and the IT Investment Inventory.</t>
  </si>
  <si>
    <t>reduced the cost here based on FY22's cost and added to the contract support line above</t>
  </si>
  <si>
    <t>Stringer</t>
  </si>
  <si>
    <t>Branson</t>
  </si>
  <si>
    <t xml:space="preserve">Gov Labor:  Data Management Spec - Operations        GS-343-13 </t>
  </si>
  <si>
    <t xml:space="preserve">Gov Labor:  Data Management Spec - Technology       GS-343-13 </t>
  </si>
  <si>
    <t xml:space="preserve">Gov Labor:  Data Management Spec - Knowledge        GS-343-13 </t>
  </si>
  <si>
    <r>
      <t xml:space="preserve">The Promoting Ecosystem Resilience and Fire Adapted Communities Together </t>
    </r>
    <r>
      <rPr>
        <b/>
        <sz val="9"/>
        <color theme="1"/>
        <rFont val="Arial"/>
        <family val="2"/>
      </rPr>
      <t xml:space="preserve">(PERFACT) </t>
    </r>
    <r>
      <rPr>
        <sz val="9"/>
        <color theme="1"/>
        <rFont val="Arial"/>
        <family val="2"/>
      </rPr>
      <t>agreement combines the previously funded FAC and PERC cooperative agreement areas into a single cooperative agreement funded via a pass-through to the USDA Forest Service and on to The Nature Conservancy that supports a portfolio of networks and strategies that bring people together to collectively identify and meet our wildfire challenges.  These include the:
1) Fire Learning Network (FLN, since 2002), fostering collaboration for restoration and fire management in landscapes across the country.
2) Prescribed Fire Training Exchanges (TREX, since 2008), providing experiential training that integrates a range of people, places, and aspects of fire.
3) Fire Adapted Communities Learning Network (FAC Net, since 2013), engaging residents and stakeholders in their communities to promote and coordinate wildfire preparedness efforts.
4) Indigenous Peoples Burning Network (IPBN, since 2016), which is accelerating fuels reduction and fire use in tribal landscapes for resiliency, fire adapted communities and cultural significance. 
These efforts support public-private place-based partnerships engaged in highly effective collaborative learning, planning, implementation, capacity-building and adaptive management, and provide opportunities to test and accelerate solutions on the ground. In the past year PERFACT has supported a Latinx engagement project in Washington state, a two-week learning exchange centered on women in fire, and capacity building through community organizing – brining people together, facilitating planning, and building connections.
Given the continued success of the program a budget increase is recommended commensurate with any increase in actual funding levels.</t>
    </r>
  </si>
  <si>
    <t>Current deliverables include assistance to communities, federal, and tribal agencies (training and on the ground accomplishment), these actions would be expanded in FY'23 to better meet the Department's Diversity, Equity and Inclusion efforts for wildland fire management.</t>
  </si>
  <si>
    <t>Activity Name: Lightning Detection Services</t>
  </si>
  <si>
    <t>Adjust to CR Approved Funding level</t>
  </si>
  <si>
    <t>FY 2017 direct funding level adjusted for workforce transformation and new base funding</t>
  </si>
  <si>
    <t>FY 2023 Enacted</t>
  </si>
  <si>
    <t>Nick Heller</t>
  </si>
  <si>
    <t>Wildfire Prevention Spatial Assessment Strategies (WPSAPS)</t>
  </si>
  <si>
    <t>Gov Agreement:  Project Support</t>
  </si>
  <si>
    <t>Gov Labor:  Program Coordinator (13/14)</t>
  </si>
  <si>
    <t>Gov Labor:  Program Manager (13)</t>
  </si>
  <si>
    <t>Gov Labor:  Program Manager (12)</t>
  </si>
  <si>
    <t>Gov Labor:  Program Specialist</t>
  </si>
  <si>
    <t>KJ ~ FS Contribution</t>
  </si>
  <si>
    <t>Developmental Training</t>
  </si>
  <si>
    <t>Other: Initial Contract Cost</t>
  </si>
  <si>
    <t>IT Equipment</t>
  </si>
  <si>
    <t xml:space="preserve">1. Ensure capcity to address current (including mental health) and future priority issues of firefighter health and wellbeing using a national coordinated program approach; 2. Coordinate a joint Firefighter Health and Wellbeing program across DOi and USFS; 3. develop a strategic action plan that guides key focus areas and implementation of programs for permanent, temporary, seasonal, and year-round wildland firefighters to recognize and address mental health needs, including post-traumatic stress disorder care.                                                                                                                                                </t>
  </si>
  <si>
    <t>Wildland Firefighter Health (mental health) and wellbeing capacity building and strategic planning to inform implementation of joint services and programs.</t>
  </si>
  <si>
    <t>Deliverables inlcude: hiring positions;  procurement of contracted strategic planning consultant; development of strategic action plan.</t>
  </si>
  <si>
    <t>Bipartisim Infrastructure Law 40803(d)(5): 
(A) develop and adhere to recommendations for mitigation strategies for wildland firefighters to minimize exposure due to line-of-duty environmental hazards; and
(B) establish programs for permanent, temporary, seasonal, and year-round wildland firefighters to recognize and address mental health needs, including post-traumatic stress disorder care.</t>
  </si>
  <si>
    <t>Mental Health Operations</t>
  </si>
  <si>
    <t>Architectural and Engineering Design</t>
  </si>
  <si>
    <t>DOI</t>
  </si>
  <si>
    <t>3rd CR and 30-Day Authority transfer level</t>
  </si>
  <si>
    <t>Preparedness Transfer</t>
  </si>
  <si>
    <t>2nd 30-Day Authority transfer level</t>
  </si>
  <si>
    <t>Project Lead: Kim Van Hemelryck and Stephen Elmore, OWF</t>
  </si>
  <si>
    <t>Disaster Relief ~ Preparedness</t>
  </si>
  <si>
    <t>Disaster Relief ~ Suppression Supplemental</t>
  </si>
  <si>
    <t>Disaster Relief ~ Suppression 2018 WFM "Regular"</t>
  </si>
  <si>
    <t>Maintained % split due to increased amount included in DR.  No significant difference in split percent.</t>
  </si>
  <si>
    <t>Gov Agreement:  Workforce Analysis</t>
  </si>
  <si>
    <t>Follow-on Contract</t>
  </si>
  <si>
    <t>Workforce analysis for outreach and planning.  Est of $477K split between Prep and Fuels 50/50</t>
  </si>
  <si>
    <t>Agency share of cost (Workforce Analysis IAA)</t>
  </si>
  <si>
    <t>FCG IAA Carryover</t>
  </si>
  <si>
    <t>Rumsey</t>
  </si>
  <si>
    <t>Gov Labor:  WFDSS DOI Product Owner/Business Lead GS-13/5</t>
  </si>
  <si>
    <t>Data Improvement and Processing (GIS support proposed through BLM)</t>
  </si>
  <si>
    <t>Tribal Compensation</t>
  </si>
  <si>
    <t>Suppression Allocations</t>
  </si>
  <si>
    <t>Supplemental Suppression Allocations</t>
  </si>
  <si>
    <t>USFS Business Lead funded through FAM IT (50% salary @ $52k and $13k travel)  Funding was provided to FS in FY 2022; however, no support was provided and therefore no additional funding is required in FY 2023.  Once staff has been hired, the $65K support will be included, anticipated to be in FY 2024.</t>
  </si>
  <si>
    <t>FY 2022 and FY 2023 FS funding to be provided through an IAA.  No FireNET project funding required.</t>
  </si>
  <si>
    <t>Gov Labor:  Asst. Center Manager GS-11, Step 4</t>
  </si>
  <si>
    <t>Gov Labor:  Voucher examiner GS-9, Step 4</t>
  </si>
  <si>
    <t>Integration cost anticipated during transition based on recent issues encountered.</t>
  </si>
  <si>
    <t>Diff = BIL Allocation</t>
  </si>
  <si>
    <t>BPS</t>
  </si>
  <si>
    <t>Other Non-Federal Contractual Services: Architecture Review, Geospatial Service, and Documentation</t>
  </si>
  <si>
    <t>Received initial 2024 Common Services Project sheets from bureau/project leads</t>
  </si>
  <si>
    <t>Updated 2024 Common Services project sheets based on Fire Director review</t>
  </si>
  <si>
    <t>Enacted    FY 2023</t>
  </si>
  <si>
    <t>FY 2023 Enacted Appropriation</t>
  </si>
  <si>
    <t>2024-2028</t>
  </si>
  <si>
    <t>2024 Projects</t>
  </si>
  <si>
    <t>TOTAL 2024</t>
  </si>
  <si>
    <t>FY 2024 Planned Cost</t>
  </si>
  <si>
    <t>FY 2024 Funded Aircraft</t>
  </si>
  <si>
    <t>FY 2024 Amount</t>
  </si>
  <si>
    <t>FY 2023 Planned Amount</t>
  </si>
  <si>
    <t>FY 2024 Request</t>
  </si>
  <si>
    <t>Additional Funding TBD.  No estimates for FY 2024 available at this time</t>
  </si>
  <si>
    <t>FY 2024</t>
  </si>
  <si>
    <t>FY 2024 split needs to be updated based on direct available</t>
  </si>
  <si>
    <t>FY2024</t>
  </si>
  <si>
    <t>FY 2023 C/O Reduction</t>
  </si>
  <si>
    <t xml:space="preserve">   $108 C/O from Preparedness/Fuels funding</t>
  </si>
  <si>
    <t>FY 2024 Est</t>
  </si>
  <si>
    <t>FY 24</t>
  </si>
  <si>
    <t>Contract: Brainstorm Quickhelp</t>
  </si>
  <si>
    <t>FY 2024 Project Plan</t>
  </si>
  <si>
    <t>Briefly describe FY 2024 deliverables and any budget or implementation changes from FY 2023.</t>
  </si>
  <si>
    <t xml:space="preserve">Review of licenses with contracting and acquisition for FY23 and previous years resulting in better understanding of license costs.  Licenses for FY23 stood at 7,000, with 4,500 at set cost through preparedness and the remainder purchased through supression as agreed to support AD, fire positions, etc. Coordination with NWCG, FMB, NMAC for continuing to align and right-size license count.  Brainstorm licenses for MSOffice365 environment help added at end of FY23 to better support community. </t>
  </si>
  <si>
    <t>We found out recently the NIFC AGOL Organization is not included in the DOI Authority to Operate (ATO) for AGOL. We will need contract funding to develop an ATO. This number is an estimate - total contract funding needed is not yet known.</t>
  </si>
  <si>
    <t xml:space="preserve">Continue to fund and support the use of ESRI’s COTS software to improve situational awareness of fire fighters and increase the efficiency of information transfer on incidents. Support multiple fire projects in the hosting of data, services, viewers and edit application. Other users include FireGuard, InFORM, Open Data Site, National Incident Feature Service, USFS RD&amp;A applications, etc.				</t>
  </si>
  <si>
    <t xml:space="preserve">ESRI’s ArcGIS Online (AGOL) and various supporting applications are COTs products that offer cloud based data hosting applications to improve situational awareness of fire fighters, increase the efficiency of information transfer on incidents, and support applications. AGOL has been in use since 2014 and continues to mature with over 23,000 users in the fire community. AGOL serves as a foundational service that supports a variety of missions and systems including FireGuard, InFORM, WFDSS Next Gen, Open Data Site, National Incident Feature Service, and USFS RD&amp;A applications. AGOL also support public data sharing and allows us to meet government mandated requirements Open Data. AGOL provides a geospatial enterprise system for wildland fire. 					</t>
  </si>
  <si>
    <t>We would be unable to meet the demands of the field for support and situational awareness. Not receiving funding for ATO would not allow us to meet DOI IT requirements.</t>
  </si>
  <si>
    <t>Need to meet DOI IT security requirements for the development of an Authority to Operate (ATO)</t>
  </si>
  <si>
    <t>FY 2023 Request Amount</t>
  </si>
  <si>
    <t>FY 2024 Target Request</t>
  </si>
  <si>
    <t>Briefly explain what tradeoffs would be made if funding level is not received at the requested level. At minimum, present options at FY 2024 straight-line level from FY 2023 request.</t>
  </si>
  <si>
    <t>Gov Labor:  Business Lead  GS-13/5</t>
  </si>
  <si>
    <t>FY 2024 hosting in the SAIC FedRAMP/OWF ENT AWS Hosting.  ($100K from DOI and $100K from FS)</t>
  </si>
  <si>
    <t>FY 2023 reduced by $8K to cover contract cost increase.</t>
  </si>
  <si>
    <t>Over-Target Scenario</t>
  </si>
  <si>
    <t>Update</t>
  </si>
  <si>
    <t>CPIC support, project oversight for DOI, manage agreements, develop contracts, assist with application testing and provide leadership and guidance for FFI development team.</t>
  </si>
  <si>
    <t>Fire Ecologist supporting FFI.  NPS covers this cost.</t>
  </si>
  <si>
    <t>USFS FAM IAA, USGS EROS IAA</t>
  </si>
  <si>
    <t>This is a one time funding request to make FFI web-based for the interagency community.</t>
  </si>
  <si>
    <t>Supports travel to instruct FFI course, facilitate field testing, and meetings with contractors.</t>
  </si>
  <si>
    <t>FFI is a software tool developed to assist managers across all agencies with collection, storage, and analysis of ecological monitoring information (primarily fire effects information) The data can be used to accomplish the Bipartisan Infrastructure Law objectives for monitoring forest health improvements and wildfire risk reduction.</t>
  </si>
  <si>
    <t xml:space="preserve">FFI is used by managers and planners to: 1) facilitate interagency fuels treatment monitoring, ecological monitoring, and data sharing, 2) meet monitoring mandates and 3) responsibly manage forests, grasslands and watersheds. Federal Law (e.g., NEPA, HFRA and ESA), and bureau and interagency guidance and policy mandate monitoring to determine if land management goals are being met.
FFI is approved for use in all the federal land management agencies and data can be easily shared among Federal and non-Federal cooperators. For example, Grand Teton National Park and Bridger Teton National Forest share monitoring resources and data, as well as Grand Canyon National Park and Kaibab National Forest.
FFI is used to make many ecological assessments such as evaluating sage grouse habitat, presence and spread of bark beetles, inventorying and monitoring woody biomass/carbon, and assessing the condition of grasslands and forests in light of disturbance like fire, climate change, and non-native species. FFI data are used in the adaptive management cycle, e.g., review fuels treatment effectiveness and create new, more effective treatment options. FFI is used in external partnership with other agencies and entities. FFI data are used in decisions made to directly support the FS, NPS, BLM, BIA, and FWS missions, and it enables managers and planners to meet mandated requirements. Because FFI data can be shared, the DOI bureaus, FS and other cooperators are more effective at comprehensively monitoring, managing and treating watersheds and landscapes. </t>
  </si>
  <si>
    <t>Overview:
Starting in 2020, using NPS funding, NPS worked with USGS EROS to make FFI a server-based application (FFI RemoteApp). USGS EROS then developed an ETL and API to move FFI data to a data warehouse that supports the needs of NPS and potentially USFS and other DOI users. The data warehouse significantly increases the use, sharing, and analysis of FFI data. In addition, the use of the API will allow us to expand field data collection methods via tools such as ESRI ArcGIS Field Maps, and Excel.        
Operation and Maintenance:
1.	Maintain FFI application; testing of enhancements and bug fixes; support DOI and FS users migration to the RemoteApp and use of the data warehouse.
2.	Make changes required by the agencies (CIO), including 508 compliance
3.	Maintain functionality with Microsoft Windows OS, Microsoft SQL Server (2017 and 2019)
4.	Make bug fixes
User Support Priorities:
1.	Maintain current level of user support where greater than 90% of users are satisfied or highly satisfied with the FFI application and FFI technical support.
2.	Respond to technical support requests within one business day 90% of the time.
3.	Continue to improve FFI’s usefulness for land managers by incorporating user suggested changes.
4.	Provide at least one online FFI training sessions annually 
5.	Maintain FFI website: http://www.frames.gov/ffi
6.	Maintain FFI Google Discussion Forum
Database Management and Conversion Priorities:
1.	Support existing FFI users database management needs (e.g., database species management, customization of protocols)
2.	Complete conversion of databases currently in the queue to FFI
3.	Support conversion of newly identified databases to FFI</t>
  </si>
  <si>
    <t>Bipartisan Infrastructure Law Section. 40803. WILDFIRE RISK REDUCTION (8) (c) (ii). monitoring the effects of treatments on wildfire outcomes and ecosystem restoration services, using the data compiled under subparagraphs (A) and (B).
FFI is an interagency ecological inventory and monitoring software application used by resource managers and planners in multiple disciplines, such as, fire, forestry, range and wildlife. Federal Law (e.g., NEPA, ESA and NFMA), DOI and USFS agency policy (e.g., the Planning Rule and Shared Stewardship initiative) and interagency guidance (e.g., Cohesive Strategy) mandate inventory and monitoring programs in order to meet the strategic goals of the USFS and DOI.
FFI provides valuable data on Fire Ecology to assist in evaluation fire effects and fuel treatment effectiveness.</t>
  </si>
  <si>
    <t>Reduction in FY 2023 would stall current significant investment and likely caused protracted timeframe for development and testing, in the end costing more than originally projected.</t>
  </si>
  <si>
    <t xml:space="preserve"> FY23 HDS - $19K, O&amp;M - $42K, A&amp;A - 16K, $103K DME to supprt annual IRWIN API updates//FY 24: HDS - contribute $15k, O&amp;M - $41k, A&amp;A - $18k, 102k DME to support annual iRWIn API updates  </t>
  </si>
  <si>
    <t xml:space="preserve">FY24 $26,000 towards Oracle contract support $30,000 towards the NIFC Help Desk Contract --- FY23 15K Oracle License includes increased Java Licensing cost / $50K for contribution towards new Help Desk Contract. All interagency users utilize the Help Desk as the initial point of contact to address server, equipment, and applications issues.  </t>
  </si>
  <si>
    <t xml:space="preserve">The Wildland Fire community uses FireCode to genterate a financial code that is then used by many different entities to track the total cost of an incident. This would be compromised if funding were not received. Finanical identifiers would have to be generaged by the dispatch community, and the accountability of costs for reporting would signficantly be impacted. </t>
  </si>
  <si>
    <t>Gov Agreement: System O&amp;M/DME - FMSF</t>
  </si>
  <si>
    <t>Security A&amp;A and ATO process; Position with OCIO for ISSO role on OWF projects.  Costs are 60k IFTDSS and 50k FMSF.  Position is shared across other projects. NOTE:  OVER-TARGET REQUEST of $20K in Parent given costs with this position have been higher in the past the over target amount would help buffer any increased costs with the position with OCIO for ISSO role on OWF projects.  Reduction of funding from FY23 to FY24 is due to a reduced level of effort with security A&amp;A work as the heavier lift will have been completed by FY24.</t>
  </si>
  <si>
    <t>Other Non-Federal Contractual Services: Cloud / security - FMSF</t>
  </si>
  <si>
    <t>Other Non-Federal Contractual Services: Cloud / security - IFTDSS / FTEM</t>
  </si>
  <si>
    <t>IBM ?</t>
  </si>
  <si>
    <t xml:space="preserve">IBM? contract (FFP) - O&amp;M costs for the contract.  Listing IBM as it is not clear if that will be the vendor by FY24.  Contract has been FFP so assuming that is the case but could change to T&amp;M or a hybrid. </t>
  </si>
  <si>
    <t>IBM? contract (FFP) - DME costs for the contract.  Listing IBM as it is not clear if that will be the vendor by FY24.  Contract has been FFP so assuming that is the case but could change to T&amp;M or a hybrid.  IBM price point has been at the 1.2 / 1.3 level so accounting for inflation with increases in contracting cost listing this estimated cost at 1.5.   Unknown if this would fully cover inflation costs or not; given this uncertainty keeping it at the value listed.</t>
  </si>
  <si>
    <t>In FY24 IFTDSS/FTEM transition of contracts (assuming there is one) will be done. Funding is reduced to just the one contract/contractor (instead of two, one to pass the proverbial IFTDSS ball and another to catch it)</t>
  </si>
  <si>
    <t>Two parts for requested funding {2k for DOI - Costs to maintain FAC/PPM credentials} and 48k for training effort to field to support users in IFTDSS}</t>
  </si>
  <si>
    <t>Management Reserve - Industry best practices target the amount of 10% to be placed in a project management reserve.  The $175K is less than 10% of the project costs and would be used to mitigate risks and support funding the project especially since this contract was (that is the estimated plan) recompeted in FY2023</t>
  </si>
  <si>
    <t>FY 2023 FS funding to be provided through an IAA.  No IFTDSS project funding required.</t>
  </si>
  <si>
    <t xml:space="preserve">NOTE: Budget alignment in FS IRDB/AgMax systems is off (Just like DOI FOLIO/eCPIC numbers are not in complete alignment based on timing and lock of these systems) and coordination with FS is needed to make this happen. </t>
  </si>
  <si>
    <t>NOTE: Reduction is due to potential completion of transition of contracts. Funding is reduced to just the one contract/contractor (instead of two, one to pass the proverbial IFTDSS ball and another to catch it)</t>
  </si>
  <si>
    <t xml:space="preserve">The Interagency Fuel Treatment Decision Support System (IFTDSS) is a web-based application structured around the planning cycle (Evaluate, Plan, Implement, Monitor, and Report) to make fuels treatment planning and analysis more efficient and effective through the integration of multiple fire behavior and fire effects models. Users can evaluate a landscape of interest testing a variety of fuels treatment actions (thin, clear cut, prescribed burn, etc.) through modeling fire behavior and fire effects using LANDFIRE data under a variety of fuel and weather conditions whereupon downloadable maps, graphs, tables, and reports are easily generated. This step by step process analyzing treatment scenarios assists users in comparing outputs to help determine which modeled action best achieves the desired results with objectives such as reduced fire behavior, intensity, and extent.  IFTDSS is a functional web-based system that provides fuel management specialists with enhanced planning capabilities including, the ability to demonstrate fuel treatment effectiveness.  IFTDSS delivered a Quantative Wildfire Risk Assessment (QWRA) workflow which provides fire management specialists with a standardized, scientific, and consistent way to complete this work.   IFTDSS provides workflow processes to agency fire management specialists that can be used to create and defend NEPA and non-NEPA decision documents, wildfire and fuel treatments analysis and monitoring, and evaluation of modeled fuel treatment effects.                                                                             It is estimated that once IFTDSS is fully developed and required by DOI and FS for use in fuels work, it will save the Departments significant costs each year associated with separate planning, analysis, and modeling tools and software.   
-	IFTDSS may become the standard planning and reporting for treatment activities and accomplishments for the fuels management and Burned Area Rehabilitation programs for DOI WFM. 
-	Geospatial environment to analyze, evaluate, and document fuel treatment interactions with wildfires
-	IFTDSS will provide key information using models and data to perform standardized analyses within the cycle workflows providing decision support.  
-	Future developments will provide ability to track (link) and/or store prescribed fire burn plans and required analysis (fire behavior, complexity, etc.) and project monitoring.    
A review by Carnegie Mellon and the Software Engineering Institute reviewed IFTDSS and provided the following recommendations/benefits:
-	Ecosystem Management Investment Approach; Greater investment in ecosystem management practices to demonstrate avoided costs. 
-	Explicitly define roles and manage responsibilities
-	Initiate cooperative research approaches 
-	Create case example of framework architectures
-	Explicitly expose framework functionality
-	Identify critical information needed for data fusion
-	Initiate shared norms and standards
-	Institute proactive operational and technology scanning
-	Create service interfaces into the system
Enterprise-Wide Identity as a Service Capability     
More information about IFTDSS/FTEM is available at https://iftdss.firenet.gov/
                                                                                                                                                                                                                                                                                                                                                                                                                                                                                                                                                                                                                                                                                                                                               The FMSF is part of a larger service-oriented architecture in wildland fire management IT. FMSF hosts authoritative models/tools in a central location that supports 99% uptime reliability, fail-over capability and zero downtime with updates and upgrades. The vision of the future for FMSF is that researchers and scientist will have a place to evaluate, refine, and test wildland fire models and tools in a cloud environment and assist with transfer of science and technology into the user community.
FMSF went into production in 2022 initially available to the Interagency Fuel Treatment Decision Support System (IFTDSS).  In 2023 the connection was implemented with the Wildland Fire Decision Support System (WFDSS). Here in FY24 there may be access with other applications. FMSF includes the following wildland fire behavior and effects models:
Basic (aka FlamMap)
MTT (Minimum Travel Time)
RANDIG (Random Ignition)
FARSITE (Fire Area Simulator)
FSPro (Fire Spread Probability)
Spatial FOFEM (First Order Fire Effects Model) – Tree Mortality
Spatial FOFEM – Consumption and Emissions
The FMSF is not able to do all of this modeling work by itself.  The FMSF has partnered with LANDFIRE and the Fire Environment Mapping System (FEMS) to provide independent data services needed to run the models or tools available in the FMSF. Landscape data (gridded fuels and topography) for running the models is acquired via the LANDFIRE Product Service (LFPS). FEMS will provide data required to define fire environment inputs for modeling via gridded and Remote Automated Weather Station (RAWS) weather data. This FEMS body of work is not in place as of 2022 when this budget was put together and not clear on it path of delivery. More FMSF information and figures are available at https://wfmrda.nwcg.gov/technology-transfer/fire-modeling-services-framework-fmsf                 </t>
  </si>
  <si>
    <t>The budget decrease is due to having a recompeted contract in place with only one vendor supporting IFTDSS.  There is however some cost uncertainty (inflation effects, increased contracting costs, etc.) and as such some costs may be higher.  The following are the types of deliverables that increased funding would support assuming they were not able to be accomplished under the FY2022 funding amounts:                                                                                                                                                 IFTDSS/FTEM &gt; 
1.	FTEM - continued improvements with modeled analyses on fuel treatment effectiveness going beyond the simple yes or no that the treatment was effective. 
2.	Development work in IFTDSS for the planning cycle with additional workflows leveraging added tools/models/data (e.g. smoke management) monitoring &amp; reporting (comparisons) functionality, Group Workspaces, and Burn Plan Template (Complexity Analysis).   
3.	User training support.                                                                                                                                                                                                                                                                                                                                                                                                                                                                                                4.             Review of planning framework for fuels management projects (treatment) 
5.             Risk Assessment Workflow - refinements based on agency use.                                            
6.             Perform analyses and assessments for use in the decision-making process.                                                                                                                                                                                                                                                                                                                                                                                                                    7.             Implementation of Prescribed Burn planning functionality with complexity analysis with an archive/collection of final plans and reports.
                                                                                                                                                                                       FMSF &gt;                                                                                                                                                                           1. FMSF Standard Developers Kit​
i. Standardize way to develop models that can easily be implemented into the FMSF​
3. FMSF Community Version​
i. A scaffolding project to run a local version of the FMSF that will mirror the online FMSF environment to aid in model development​
4. Architecture changes​
i. Move over to LINUX for the models that would work that way​
5. Code clean up for what we have now​
i. Get rid of what we don't need, streamline what we do need​
6. Enhancements for existing models​
i. i.e., allow non-LFPS landscapes, remove limits implemented while with IBM</t>
  </si>
  <si>
    <t>Annual recurring costs to keep current in data exchange environment, software and technology upgrades.  FY 2022, move funding to BLM interim contract and hold remaining funding in Parent.  Funding for next gen NFPORS listed in this sheet at 1M instead of NFPORS budget sheet in support of InFORM contract.</t>
  </si>
  <si>
    <t>Michael Pena</t>
  </si>
  <si>
    <t>Gov Labor:  Job Title GS-13 Info Security</t>
  </si>
  <si>
    <t>Heraclio Jaquez</t>
  </si>
  <si>
    <t>As of FY24 INFOSEC positions are to be supported by IQCS to document security components of IQCS</t>
  </si>
  <si>
    <t>As of FY24 INFOSEC positions are to be supported by IQCS to document security components of IQCS - Currently Vacant</t>
  </si>
  <si>
    <t>Gov Labor:  Job Title -  GS-11 Info Security</t>
  </si>
  <si>
    <t>VACANT</t>
  </si>
  <si>
    <t>FY24 IQCS NAMS OY3 funding $244,000 --- FY23 $237,679 for IQCS/NAMS contract OY2 which is inclusive of  O&amp;M and 2.0 revisions and accounts for $250K on spend plan / IT Security Support $117,000 - FY24 IQCS NAMS OY3 funding $244,000</t>
  </si>
  <si>
    <t xml:space="preserve">FY24 - contributing 100K for OY2 of Help Desk Contract FY23 -100K for Help Desk Contract which supports  customer service and application support for IQCS. This amount shows funding for OY2 of the contract. Funding is showing a decrease of 357K because prior numbers were lumped together  that included equipment costs, software licensing, and IQCS improvements. Now, costs are broken out and showing those costs in other areas on sheet.  $100K in field H33 up from 35K to show cost of actual equipment purchase expenses and field H27 increased to show funding for true  R&amp;M for IQCS database and IQCS 2.0. </t>
  </si>
  <si>
    <t>FY23 50K for server lifecycle purchase  &amp; 50K for lifecycle purchase Network Switches (up from 35K) --- FY24 IQCS intends to pay for  1 server and half of a host at 75K</t>
  </si>
  <si>
    <t>Continue to work on IQCS stabilization while maintaining the legacy system, equipment lifecycle replacement and help desk expenses. Also, focus on IQCS stabilization and O&amp;M  ***IT contracts are out for bid at this time. There is the concern that they may come back significantly higher*** Update as of 03.02.22 average IT contract increase was 20%. IQCS/NAMS Contract final award overall is $1,217,588 - IQCS goal is to contribute 100K to NIFC Help Desk Support, 100K to annual equipment lifecycle purchase</t>
  </si>
  <si>
    <t xml:space="preserve"> ***IT contracts are out for bid at this time. We do have concern that they may come back significantly higher*** - IQCS goal is to contribute more money towards Help Desk Contract and to contribute to lifecycle equipment purchasing. All IT contracts on average came back 20% higher than initial bid. IQCS is a very large application and the help desk serves as  the initial point of contact when there is an issue in the field. </t>
  </si>
  <si>
    <t>Gov Labor:  Business Lead GS 13/5</t>
  </si>
  <si>
    <t>The SAIC Data Support contract PoP expires 9/30/2022. The tasks under this contract will be merged into "IRWIN O&amp;M Hybrid" contract</t>
  </si>
  <si>
    <t>No longer providing funding to CAD's</t>
  </si>
  <si>
    <t>Increased cost for the year to account for contract recompete and the need to Update computers, phones, tablets, etc.; GFE and Onboarding for new vendors</t>
  </si>
  <si>
    <t xml:space="preserve">Shared program between the wildland fire management of the U.S. Department of Agriculture Forest Service and U.S. Department of the Interior, with support through a cooperative agreement with The Nature Conservancy (TNC). Work is performed through USGS, FS, and TNC. LANDFIRE provides landscape scale biological and ecological geo-spatial products to support cross-boundary planning, management, evaluation, assessment, and operations.  Product listings are available at www.landfire.gov </t>
  </si>
  <si>
    <t xml:space="preserve">This multi-partner program (Funding is principally from FS and DOI but TNC provides some funding given the terms of the cooperative agreement) produces consistent, comprehensive, geospatial data and databases that describe vegetation, wildland fuel, and fire regimes across the United States and insular areas.  LANDFIRE is a cornerstone of a fully integrated national data information framework developing and improving vegetation and fuels data products based on the best available authoritative data and science in an all lands landscape conservation approach based on inter-agency/inter-organizational collaboration and cooperation. LANDFIRE is acknowledged for management excellence and effective mission delivery. LANDFIRE data is a critical component for WFDSS, IFTDSS, (through the FMSF) and provides key data for risk mapping and hazard analysis that are important for wildland fire management.  LANDFIRE's mission is to provide agency leaders and managers with a common "all-lands" data set of biologically and ecologically relevant vegetation and wildland fire/fuels information for strategic fire and resource management planning and analysis.  LANDFIRE is used in many areas such as; WFDSS, FSIM/WFIPS, IFTDSS, FMSF, Fire Behavior and Hazard Assessments, and AnalysesWhile some only see LANDFIRE as a fuels product, the data support a number of other fire management activities from NEPA analysis, fire planning, fire monitoring, fire suppression operations, restoration/rehabilitation, and wildland fire performance measures.                                                                                                                                                                                               LANDFIRE products provide data for landscape assessment, analysis, research, planning, monitoring, management, restoration/rehabilitation, wildlife habitat, informing carbon/climate work, and some performance measures {In DOI Strategic Plan 14-18 Goal 1, Strategy 3, PM#1:  “Percent of DOI-managed landscape acres that are in a desired condition as a result of fire management objectives”}.  Data and information serve as important data sets in decision support with efforts such as identification of areas with similar characteristics, prioritization exercises, modeling capacity and potential, and improving collaboration between landowners with common data sets and analytics.     </t>
  </si>
  <si>
    <t>Dependent on budget – could include some of the following:                                                                                                                                                                                                        Plan in 2024 is that annual update is the principal focus on the areas of change/disturbance in vegetation.  This annual focus would involve many of the listed products below.                                                                                                                                                                                                 - Reference Public Events Geodatabase                                                                                                                                                                                    - Public Reference Database                                                                                                                                                                                           - Forest Vegetation Simulator Ready Database                                                                                                                                                                                            - Disturbance (1999 – 2016 and annual updates up through 2023)   /   Fuel Disturbance / Forest Vegetation Transitions Database   /   Non-Forest Vegetation Transitions Database   /   Forest Vegetation Simulator Disturbance Database  / Vegetation Disturbance   /   Vegetation Transition Magnitude                                                                                                                                                                                          - Vegetation Biophysical Settings   /   Environmental Site Potential                                                                                                                                                                                             - Existing Vegetation Cover, Height, and Type   /   Dominant Cover Type  / Attributed data - Crosswalks to Society of American Foresters/Society for Range Management/NVCS &gt; for EVC, EVH, EVT, DCT                                                                                                                                                                                                     - Fuel Forest Canopy Bulk Density   /   Forest Canopy Base Height  /   Forest Canopy Cover   /   Forest Canopy Height                                                                                                                                                                                                 - Canadian Forest Fire Danger Rating System  /   13 Anderson Fire Behavior Fuel Models  /   40 Scott and Burgan Fire Behavior Fuel Models                                                                                                                                                                                                -  Fuel Characteristic Classification System (FCCS) Fuelbeds  /   Landscape File   /   Fuel Ruleset Database                                                                                                                                                                                            -  Fire Regimes Fire Regime Groups   /   Mean Fire Return Interval  /   Percent Low-Severity Fire   /   Percent Mixed-Severity Fire  /   Percent Replacement-Severity Fire   /   Succession Classes  /   Vegetation Condition Class   /   Vegetation Departure Index  /  Vegetation Dynamics Models                                                                                                                                                                                                -  Topographic Aspect   /   Elevation   /   Slope</t>
  </si>
  <si>
    <t>MTBS/Burn Severity Portal NPS/DOI lead. Provide technical expertise in CBI field validation methods and use of dNBR for burn severity in MTBS.  Additionally assist with burn severity portal, migrating CBI data, Spatial Event Tracker Database and MTBS Website.</t>
  </si>
  <si>
    <t xml:space="preserve">The MTBS budget is split between suppression and fuels.  Suppression contributes ~70% and fuels contributes ~30% ($108k).  This is collaborative effort between DOI and USFS. </t>
  </si>
  <si>
    <t>Funding will be used to enhance the Spatial Event Tracker database (ETD) for the post fire programs (MTBS, BARC, RVAG) and the Burn Severity Portal in order to release burn severity assessments more frequently to meet user needs; optimize the development, storage, management and delivery of geospatial data for all three post-fire mapping programs including provisional assessment (fires greater than 40,000 are mapped within a month of control date); investigate how to leverage NISAR data when assessing burn severity.</t>
  </si>
  <si>
    <t>MTBS meets the requirements originally established by the Wildland Fire Leadership Council (WFLC) in 2004 to provide an informational basis for a national analysis of trends in burn severity that monitors the impacts and effectiveness of the National Fire Plan and now, the National Cohesive Wildfire Management Strategy. WFLC recommended leveraging Landsat satellite image data collected from the early 1980s to present, and the fire mapping expertise of the USFS and USGS to: 1) map and assess the environmental impacts of large fires for all lands across the U.S., 2) provide and maintain multi-decadal burn severity data, and 3) develop trends information from these data.  Additionally, MTBS addresses the GAO recommendation to the USFS and DOI to compile comprehensive data that characterize the effects of wildfire on a broad scale (GAO-04-705). The project responds to this by providing an unprecedented multi-decadal dataset that consistently maps and characterizes large fires in the U.S. Currently, the MTBS data record spans the years 1984 through 2021 with over 29,533 fires mapped; MTBS is working to complete the 2022 fires and releases data on a quarterly basis.</t>
  </si>
  <si>
    <t>MTBS Operations and Maintenance: 1) complete mapping and delivery of year 2022 extended assessment fires; 2) complete mapping of year 2023 initial assessment fires and start mapping year 2023 extended assessment fires; 3) continue data validation and QA/QC on historic fires; 4) continued maintenance and update of MTBS and Burn Severity Portal map and web services and continuous improvements to semi-automated data update and delivery mechanisms to support access and use of MTBS data; 5) complete provisional assessment of fires greater than 40,000 within a month of control date.
Knowledge Transfer: conduct webinar(s) on the uses and applications of MTBS data.  Provide paper/poster presentations at relevant conferences and technical meetings.
Bureau and Research Support: 1) provide limited bureau-specific burn severity mapping support; 2) provide limited burn severity mapping assistance to the research community to support the use of MTBS data (e.g. address RFPs by JFSP, NASA, etc.).</t>
  </si>
  <si>
    <t>MTBS data is used by managers and planners in multiple disciplines, such as, forestry, fire, range and wildlife. Federal Law (e.g., NEPA, ESA and NFMA), DOI and USFS agency policy (e.g., the Planning Rule and Shared Stewardship initiative) and interagency guidance (e.g., Cohesive Strategy) mandate inventory and monitoring programs in order to meet the strategic goals of the USFS and DOI.</t>
  </si>
  <si>
    <t xml:space="preserve">If MTBS is reduced by 5%, the mapping of 2023 large fires will not be fully completed. MTBS staff will have to make a determination of which fires not to map. If no funding is received in FY 24, MTBS will stop mapping all fires and begin to decommission the MTBS website and data delivery system.  The termination of MTBS will result in: 1) LANDFIRE not having the necessary large fire data to refresh its products; 2) the research communities will no longer be able to do trend analyses and regional and local analyses and comparisons; 3) Field managers will no longer have MTBS products to do pre- and post-fire assessment of wildfire, evaluate prescribed fire treatment effectiveness on the treatment and landscape scale, use MTBS data to monitor treatments, use MTBS data to evaluate wildland fire impacts to T&amp;E species and other species of concern.  </t>
  </si>
  <si>
    <t>Technical individual(s) needed to be the product owner to direct the vendor on the gov. requirements and acceptance of deliverables.  May move to InFORM</t>
  </si>
  <si>
    <t xml:space="preserve">OVER-TARGET amount of $25K in Parent.  May need additional for detailer costs and multiple detailers. May move to InFORM. </t>
  </si>
  <si>
    <t>Other Non-Federal Contractual Services - Cloud  / security</t>
  </si>
  <si>
    <t xml:space="preserve">SAIC AWS (T&amp;M) OWF Enterprise/Unified Cloud - legacy NFPORS portion of cloud costs.   NOTE: $24K in Parent includes cost increases with inflation factoring in a 13% increase. INFLATION JUSTFICATION: Given the cost increases we are seeing in all kinds of contracts/agreements with the economy and inflation; this 24k is being included as an adjustment factor to account for potential increased costs.  The 13% may be within reason but some of the ones being seen as of October 2022 are showing that these inflation adjustments are higher (some around 25% with some more). </t>
  </si>
  <si>
    <t>NOTE: Current NFPORS legacy system general estimated minimum cost is approxinately 500k (DOI 385 &amp; FS 115). Slightly higher costs due to inflation and increased contract costs.</t>
  </si>
  <si>
    <t>Principal objective is in FY2024 funding will be used to continue support of the current legacy system.                                                                                                                                                                                                                  Legacy NFPORS project objectives are ----- an internet-based application that collects, creates, and updates planned and accomplished activity and treatment information for fuels management (including fuels treatment polygons), community assistance, and post-fire emergency stabilization and rehabilitation for five federal land management agencies within two Departments. NFPORS is the official System of Record (SOR) for the DOI’s Fuels Management, Emergency Stabilization and Rehabilitation Programs serving as the authoritative data for the department. NFPORS is a critical functionality for Department reporting.</t>
  </si>
  <si>
    <t xml:space="preserve">FY24 O&amp;M = 15K - A&amp;A = 15K;   FY23: O&amp;M = 15K; A&amp;A = 15K </t>
  </si>
  <si>
    <t xml:space="preserve">If reduced, services would need to be ceased, and individual agencies develop their own safety reporting/contingency systems.				</t>
  </si>
  <si>
    <t>SAIC FedRAMP/OWF ENT AWS Hosting-Annual Hosting cost</t>
  </si>
  <si>
    <t>Split 50/50 with Forest Service; updated 1 JUN</t>
  </si>
  <si>
    <t xml:space="preserve">Operate and maintain a stabilized system for the creation/maintenance/dissemination of RAWS data to the fire enterprise.  Cost increase is due to having one less module (lightning) contribute to the fixed costs of supporting all WFMI modules (licensing, security, help desk...).  Contract costs for all IT development and support increased significantly during award in 2021 for 5 year period of performance. </t>
  </si>
  <si>
    <t>The existing weather platform has been stabilized in the BLM APEX environment.  This next generation weather enhances the ability of the interagency customers to access the weather data needed for wildland fire response; significantly reduces the risk of failure; and positively impacts the ability to provide near-real-time point weather data. Funding is primarily for base funtionality and fixed contract costs; if reduced, services would need to be reduced and/or availability/reliability reduced.</t>
  </si>
  <si>
    <t>The funding will continue to provide a DOI fair-share contribution to the development and O&amp;M required for the application. A program of work will be developed and submitted for the funding requested. Preliminary planning has occurred to develop this request and is available upon request. Currently the USFS contributes $300K annually to this project. The project is managed by the USDA through and agreement with USFS with BIA a representative serving as the project techincal lead.</t>
  </si>
  <si>
    <t xml:space="preserve">This is a shared effort with the Forest Service. The application is designed to provide an interagency research-based approach to wildfire prevention. The funding will continue to provide a DOI fair-share contribution to the continued development and O&amp;M required for the application.  </t>
  </si>
  <si>
    <t>The Wildfire Prevention Spatial Assessment and Planning Strategies or WPSAPS software is an interagency online software application that provides a state of the art wildfire prevention approach to conduct long term analysis on the effects of implementing research informed prevention actions. Users can spatially assess their management unit in terms of wildfire ignition risk, historical wildfire occurrence, fuel hazard, catastrophic fire potential and the values at risk. From this assessment the user can develop prevention strategies to reduce the number of human caused wildfires occurring within the management unit. There is currently no other software application with this capability.The project is managed by the USDA through and agreement with USFS with BIA a representative serving as the project techincal lead.</t>
  </si>
  <si>
    <t xml:space="preserve">The deliverables are for this request are: Continue Web Map Enhancements; Enhance the disconnected mapping application features; Update the prevention algorithm to incorporate the latest research findings; Develop processes to incorporate latest wildfire prevention research findings; Develop the concept for a more robust community assessment tool; Continue application enhancements and required modernization of the application; Regular Operating and Maintenance including bug fixes and issues as they arise; Design a National Report Rollup Reporting Services and export features; Program Coordinationand Alignment with the Application and WPSAPS Production Support. An updated program of work will be developed before the beginning of the period of performance to address or identify any additional needs. </t>
  </si>
  <si>
    <t>DOI Strategic Plan Mission Area 5 - Protecting Our People and the Border GOAL#3: Manage wildland fire to reduce risk and improve ecosystem and community resilience; 2014 National Cohesive Wildland Fire Management Strategy</t>
  </si>
  <si>
    <t>No accomodating for increased costs which may result in reduced services or development of existing software application</t>
  </si>
  <si>
    <r>
      <t xml:space="preserve">Salary - 26 PP @ GS-12/5; may be filled at a GS-13 grade -- (NPS); FY23 $4k for classification of PD.  </t>
    </r>
    <r>
      <rPr>
        <sz val="11"/>
        <color rgb="FFFF0000"/>
        <rFont val="Calibri"/>
        <family val="2"/>
        <scheme val="minor"/>
      </rPr>
      <t>Moved to WFMRD&amp;A tab with other NPS staff in FY 2024</t>
    </r>
  </si>
  <si>
    <t>Gov Labor:  Job Title - GIS Specialist GS12</t>
  </si>
  <si>
    <t xml:space="preserve"> (NPS FAM)</t>
  </si>
  <si>
    <t>FTE to provide leadership, planning, and workplan managemnt for the AGOL team.  As the AGOL project expands given the unprescendent reponse from the community, the intent is to convert one of the current AGOL positions into a lead/supervisory role. Thus the additional ask in funding on this FTE.</t>
  </si>
  <si>
    <t>Gov Labor:  Job Title - GIS Pathways GS5</t>
  </si>
  <si>
    <t>Meetings to develop, coordinate, and host training in AGOL and National Incident Feature Service. Coordination meetings, team meetings, area meetings, etc.</t>
  </si>
  <si>
    <r>
      <t>This request is for additional funding for a GOV FTE at $108,000 (or contractor for $130,000) to meet growing tech support needs of the NIFC Org. The Org currently supports 23,000 users and served over 1.9 billion data requests for the public last year. The support demands can no longer be met by existing staffing. The NIFC ArcGIS Online organziation is the largest single AGOL Org that ESRI has and is also the largest AGOL Org in terms of data volume served. The project has been very successful and we need additional staffing to continue this success.</t>
    </r>
    <r>
      <rPr>
        <sz val="11"/>
        <color rgb="FFFF0000"/>
        <rFont val="Calibri"/>
        <family val="2"/>
        <scheme val="minor"/>
      </rPr>
      <t xml:space="preserve"> </t>
    </r>
    <r>
      <rPr>
        <b/>
        <sz val="11"/>
        <color rgb="FFFF0000"/>
        <rFont val="Calibri"/>
        <family val="2"/>
        <scheme val="minor"/>
      </rPr>
      <t>IF Pathways position is provided in FY23 or FY24, that funding request will replace this line item.</t>
    </r>
  </si>
  <si>
    <t>- Provided contract and NPS FTE staffing to support the interagency effort 7 days a week beginning Jun 6 due to increased support activity, weeks before PL 3. - Over 23,000 fire cooperators use ArcGIS Online to manage wildland fire data. 6,540 Account Requests Received; 94.9% of accounts made are made within 1 day of the initial account request, 85.3% of accounts made are made the same day as the request. 5,512 new accounts created. 765 Support Requests Received; 90.5% of support cases are addressed the same day they are received and 98.1% are addressed within a day. 598 Password Reset Requests Received. 2,547 Support Email Conversations and a gross total of 9,162 emails sent out. Submitted 52 Esri technical support tickets; identified 29 new bugs and 7 enhancements</t>
  </si>
  <si>
    <t>Development and update of workflows, training materials, training classes and training websites.</t>
  </si>
  <si>
    <t>Contracting to provide support for services previously done previously under GeoMAC to now support NIFS and AGOL funding.</t>
  </si>
  <si>
    <t>AGOL Authority to Operate (ATO)</t>
  </si>
  <si>
    <t>Added $250K for the development of an Authority to Operate (ATO). Additionally, as in FY23, we are asking for additional funds for either additional contracting support or to onboard a Pathways 5/7/9 student position. Finally, as the AGOL project expands given the unprescendent reponse from the community, the intent is to convert one of the current AGOL positions into a lead/supervisory role. Thus the additional ask in funding on that FTE.</t>
  </si>
  <si>
    <t>Gov Labor:  Visual Information Specialist</t>
  </si>
  <si>
    <t>This is a new position request for FY24.  The position would support and enhance the various products produced by the LLC.</t>
  </si>
  <si>
    <t>FY24 website development support</t>
  </si>
  <si>
    <t xml:space="preserve">FY 2024  </t>
  </si>
  <si>
    <t>This funding will provide the LLC with three full-time employees and the support they need to meet their mission. One of the positions would be a plus one for the staff in FY24. The LLC produces externally facing content but has not had professional communication or visual information support. This permanent skill set added to the staff would enhance the quality of the the work intended to meet the mission to "promote learning in the wildland fire service by providing useful and relevant products and services that help to reveal the complextiy and risk in the wildland fire environment."</t>
  </si>
  <si>
    <t>The entire wildland fire community benetits from the mission of the LLC. An interagency incident review database is maintained, useful products and services arecreated and shared with the wildland fire community across the nation and internationally. The LLC collects, stores and provides analysis for incident reviews so others can learn from the incident.</t>
  </si>
  <si>
    <t>The LLC is managed under an interagneyc agreement supporting local, state, and federal entities with wildland fire responsibilities.</t>
  </si>
  <si>
    <t>The LLC is a center of learning in the wildland fire community. Loss of the program would result in the loss of a centralized learning center which enhances risk management, firefighter safety, and lesson sharing. Additionally, the loss of the LLC would mean the loss of the incident review database which houses recent and historic incident reviews and reports.</t>
  </si>
  <si>
    <t xml:space="preserve">The increase in funding request is because of two things. One is the LLC website must be modernized and transitioned into a .gov website. Costs for this are evolving and will be shared between the DOI and Forest Service. The second reason for the increase is the request to add one position to the staff. A visual information specialist would enhance the quality of products produced by the LLC and the messaged distributed.Graphic support, document layout, and social media messaging would all improve with a position dedicated to this skill set. </t>
  </si>
  <si>
    <t>Fund labor and support of two current DOI employees and increase staffing by one visual information specialist to enhance the quality of the product created by the Wildland Fire Lessons Learned Center.</t>
  </si>
  <si>
    <t>vice Schwab</t>
  </si>
  <si>
    <t>vice Anthony</t>
  </si>
  <si>
    <t>Approved at Department level for acquisition of burn severity satellite imagery</t>
  </si>
  <si>
    <t>Department-wide, approximately 1,077,200 acres are planned to be treated based on FY 2023 NFPORS requests (latest available full-term data).</t>
  </si>
  <si>
    <t>BAER Contracting Officers hosted by BLM</t>
  </si>
  <si>
    <t>Workload associated with post-wildfire procurement actions is unpredictable and added to already overtaxed contracting officers supporting other program needs.  The unique nature of the work requires contracts to be issued in late-September and actions to occur during fiscal year transitions.</t>
  </si>
  <si>
    <t>Failure to  fund these positions will reduce program support to implement the Bipartisan Infrastructure Law and other administrative legislative priorities</t>
  </si>
  <si>
    <t>Increased requests based on new position requests to implement the Biapartisan Infrastructure las, a recently enacted legislation</t>
  </si>
  <si>
    <t>Budget Leads:  Kristy Swartz, OWF</t>
  </si>
  <si>
    <t>Fund existing aviaiton contracts, extend MAP on aviation contracts that are coming up for renewal which is estimated at 57 contracts. Account for estimated contract cost increases due to inflation.</t>
  </si>
  <si>
    <t>The increased funding would provide the ability for Bureau to increase MAP length of aviation contracts up to 120 days as FY24 contracts come up for renewal. In addition contract prices are estimated to increase substantially due to inflation.</t>
  </si>
  <si>
    <t>Reduced funding would result in maintainng status quo on MAP length. Inflation cost increases on new contracts would not be as easily absorbed and could result in not awarding contracts based on available funding.</t>
  </si>
  <si>
    <t>Gov Labor:  Voucher Examiner GS-9, Step 1</t>
  </si>
  <si>
    <t>FY 2024 Preliminary Split</t>
  </si>
  <si>
    <t xml:space="preserve">CPC would plan to continue prompt payment and record keeping for all casuals given provided funding. The addition of one additional voucher examiner would aid in overall CPC effeciency ensureing payments are promt and address excpeted workload backlogs due to current records system that currently requires one employees almost full time attention to ensure that records are processed timely. </t>
  </si>
  <si>
    <t>If the funding request was not realized then bureaus could expect large delays documentation being uploaded to records  as overall loss of productivty at CPC that may result in delayed payment processing</t>
  </si>
  <si>
    <t xml:space="preserve">The Sagebrush Steppe Treatment Evaluation Project (SageSTEP) is a long-term multi-site, multi-disciplinary project that seeks to better understand how sagebrush steppe ecosystems respond to common land management treatments mostly associated with fuels management.  The project began in 2005, treatments were applied in 2006, 2007, and 2008, and currently an unprecedented 14 years of post-treatment data has been collected.  Efforts continue to fully analyze long term post years, report findings to the land management community and publish a collection of papers in peer-reviewed journals.  SageSTEP provides critical scientific information to the land management community, not only with regards to long term fuel and vegetation treatment effects, but also about long term vegetation and fuel bed trends in sagebrush steppe country of the Interior West.  Primary audience includes federal, state and tribal land managers working in the Great Basin.  Scientific information from the project provides the ability to fine-tune on-the-ground decisions made by land managers faced with multiple threats to sagebrush steppe communities in the Great Basin.  </t>
  </si>
  <si>
    <t>Tiffany Roberts</t>
  </si>
  <si>
    <t>Alyssa O'nan</t>
  </si>
  <si>
    <t>Thomas Riley</t>
  </si>
  <si>
    <t>Projected actual cost, not full salary</t>
  </si>
  <si>
    <t>FY 2024 Allocation</t>
  </si>
  <si>
    <t>Temporary Fire Recruitment Services would affected; thus negatively impacting the hiring of temporary fire positions to protect life, property, and the safety of public lands.</t>
  </si>
  <si>
    <t>If funding request is at a 2023 straight line level, the BLM maintenance program would have the ability to complete minimum required operations, maintenance and improvements of the NIFC campus.  If the budget is 5% below request, BLM would possibly covered expected shortfall with vaious internal budget efficiencies.</t>
  </si>
  <si>
    <t>Project Lead: Katie Woods</t>
  </si>
  <si>
    <t>Budget Lead:  Sarah Lee</t>
  </si>
  <si>
    <t>Lee, S.</t>
  </si>
  <si>
    <t>Bender, J.</t>
  </si>
  <si>
    <t>Gov Labor:  Training Program Manager GS-13/4</t>
  </si>
  <si>
    <t>Gov Labor:  IWDG Coordinator GS-13/3</t>
  </si>
  <si>
    <t>Gov Labor:  Supv Training Specialist GS-12/2</t>
  </si>
  <si>
    <t>Gov Labor:  Supv Instructional Syst Spec GS-12/5</t>
  </si>
  <si>
    <t>New position submitted on FY2023 SLA</t>
  </si>
  <si>
    <t>vice Hambrick.  Position moved from NPS to BLM in FY 2023</t>
  </si>
  <si>
    <t>NWCG charter signed November 2013 and Shared Funding Interagency Agreement signed July 2022.</t>
  </si>
  <si>
    <t>Project Lead: Katie Wood</t>
  </si>
  <si>
    <t>Budget Lead: Sarah Lee</t>
  </si>
  <si>
    <t>NASF State Travel paid by USFS Grant.</t>
  </si>
  <si>
    <t>RSFWSU maintains 314 full ride and modified field contracts for BIA, BLM, FWS, NPS, and USDA Remote Automatic Weather Stations (RAWS).  Provide cabliration, repair, and support for 1,789 BLM, FWS, NPS, USDA, DOD, BIA, and S&amp;PF RAWS.</t>
  </si>
  <si>
    <t>RSFWSU is employing two new technicians to be located in Phoenix due to the increase of stations serviced by the field.  With the addition of BIA on modified contracts and USFS Region 3 on full ride contracts, the additional employees, truck, trailer, ATVs, UTV and associated equipment is needed to perform the contracts.</t>
  </si>
  <si>
    <t>Gov Agreement:  FS-RSAC - Lightning</t>
  </si>
  <si>
    <t>Funding elements are being lumped in with WFMI-Weather. This was the visual display of lightning data that was transitioned from WFMI to be a service provided by the FS EGP application. Moved from WFMI-Lightning.</t>
  </si>
  <si>
    <t>Original WFIT Request for FY 2023 Allocation</t>
  </si>
  <si>
    <t>Actual FY 2023 Allocation</t>
  </si>
  <si>
    <t>Updated percentages for allocation after FY 2022 year end</t>
  </si>
  <si>
    <t>Update 2024 10-year average suppression obligations</t>
  </si>
  <si>
    <t>Update 2024 amounts based on final adjustments to FY 2024 DOI Allocation spreadsheet information</t>
  </si>
  <si>
    <t>Agreement administered by BLM WO 200.  Original investigator request was for DOI Fuels commitment of $140,000/year for FY 2018-2020; however, requested an additonal $50K for FY 2021 and FY 2022. Request is for DOI Fuels commitment of $250,000/year for FY 2023.  FY 24 to reflect increase in monitoring crew costs  to conduct pinyon jay monitoring. Increase monitoring for song birds, like pinyon jay, will help inform managers on effects of fuels treatments within pinyon-juniper woodlands ahead of a potential listing decision under the ESA. DOI bureaus managing pinyon-juniper woodlands would benefit from this additional monitoring. Additional funding contributions are also being requested through BLM wildlife program.</t>
  </si>
  <si>
    <t>Budget Lead: Ben Sitz</t>
  </si>
  <si>
    <t xml:space="preserve">If funding is less than requested, less monitoring plots would be visited and less and inconsitent data would be applied to the study. Pinyon Jay monitoring would not take place. Updates to phot series and other publications could be delayed or postponed. </t>
  </si>
  <si>
    <t xml:space="preserve">Monitoring song birds, like pinyon jay, will help inform managers on effects of fuels treatments within pinyon-juniper woodlands ahead of a potential listing decision under the ESA. DOI bureaus managing pinyon-juniper woodlands would benefit from this additional monitoring.  SageSTEP has been funded the last few years at a level that requires some plots to be prioritized and monitored for only critical objectives. This is producing a gap in full long term data gathering and reporting on how fuels treatments affect vegetation response over long term. Travel expenses and costs for monitoring crews has increased dramtically.  Funding at the requested level will provide SageSTEP with the necessary funding to complete all monitoring objectives.  More importantly it will allow SAgeSTEP to renew its monitoring of the Pinyon Jay </t>
  </si>
  <si>
    <r>
      <rPr>
        <sz val="10"/>
        <rFont val="Arial"/>
        <family val="2"/>
      </rPr>
      <t xml:space="preserve">Increase song bird monitoring, renewing monitoring of Pinyon Jay.                                                               </t>
    </r>
    <r>
      <rPr>
        <sz val="10"/>
        <color theme="1"/>
        <rFont val="Arial"/>
        <family val="2"/>
      </rPr>
      <t>Quarterly reports on how vegetation has responded to sage brush vegetation fuels treatments post 10 years.
Continued treatment response fuels photoseries updates                                                                                                                                                                  Web series on treatment results
Field visits to monitoring sites for land managers
All data available and easily accessed by land managers</t>
    </r>
  </si>
  <si>
    <t>Requested increase of one additional Voucher Examiner to assist with continued increase in CPC workload and expected records management requirements.  2023 funded at 50%, and then 100% from 2024 on.  New BIA Position (approved 2/2023)</t>
  </si>
  <si>
    <t>Preparedness LF100 - based on FY22 Actual Labor +4% estimated increase for raise</t>
  </si>
  <si>
    <t>Preparedness LF100 (4 GS Employees Training + FPPS User Group)</t>
  </si>
  <si>
    <t>Including Pitney Bowes</t>
  </si>
  <si>
    <r>
      <rPr>
        <b/>
        <sz val="11"/>
        <color theme="1"/>
        <rFont val="Calibri"/>
        <family val="2"/>
        <scheme val="minor"/>
      </rPr>
      <t>Preparedness LF100</t>
    </r>
    <r>
      <rPr>
        <sz val="11"/>
        <color theme="1"/>
        <rFont val="Calibri"/>
        <family val="2"/>
        <scheme val="minor"/>
      </rPr>
      <t>: Remodel-4th GS Desk</t>
    </r>
  </si>
  <si>
    <r>
      <rPr>
        <b/>
        <sz val="11"/>
        <color theme="1"/>
        <rFont val="Calibri"/>
        <family val="2"/>
        <scheme val="minor"/>
      </rPr>
      <t>Preparedness LF100:</t>
    </r>
    <r>
      <rPr>
        <sz val="11"/>
        <color theme="1"/>
        <rFont val="Calibri"/>
        <family val="2"/>
        <scheme val="minor"/>
      </rPr>
      <t xml:space="preserve"> Lektriever Service; printers/copiers not covered by service contracts.  Fischer Tech; Core PC/Allied Solutions</t>
    </r>
  </si>
  <si>
    <t>Five Year Average 2018-2022</t>
  </si>
  <si>
    <t>Lead Range Tech/HR Assistant GS-09/8
(50% DOI FIRES)  (Shared with FA-340 NICC)</t>
  </si>
  <si>
    <t>Provides consistent, reliable and timely recruitment services for Temporary Fire positions with BLM, NPS, BIA and USFWS.</t>
  </si>
  <si>
    <t>The FIRES Program Office provides consistent, reliable, centralized recruitment services for BLM, NPS, BIA and USFWS. On average the FIRES Program Office issues just under 200 vacancy announcements and in excess of 1000 certificates each year under Direct Hire Authority and Delegated Examing Authority. In addition, the DOI FIRES Program Office provides excellent service by responding to applicants, HR Contacts and Selecting Officials in a timely manner via email and phone.</t>
  </si>
  <si>
    <t>The FIRES Program Office has additional personnel dollars due to step increases and promotions for staff.</t>
  </si>
  <si>
    <t>BLM policy requires the use of FIRES for Recruitment of Temporary Fire positions.  BIA, NPS and USFWS use of FIRES is voluntary; however most locations are using the program to recruit Temporary Fire positions.</t>
  </si>
  <si>
    <t>MOU as determined by agency employees</t>
  </si>
  <si>
    <t>Funds from BIA, NPS and FWS (new HR positions added and  approved in FY24)</t>
  </si>
  <si>
    <t>Funds from OWF and NPS, fleet and cache items</t>
  </si>
  <si>
    <t>Fleet Usage (OWF/NPS usage of BLM fleet and other misc.)</t>
  </si>
  <si>
    <t>FY2024 HR MOU between DOI agencies</t>
  </si>
  <si>
    <t xml:space="preserve">Funding is for SLAs to support personnel who are responisble for completing workload on behalf of other DOI agencies, such as HR, External Affairs, Equipment manager tasks and State of AK FTE. The project funding also supports the Agreement/MOU transfer of money to the Forest Service for the NERV program as well as misc. usage of equipment by OWF. </t>
  </si>
  <si>
    <t xml:space="preserve">If the FY2024 project is funded at a the 2023 level, with no decrease from the requested level the program changecould likely be absorbed by budget efficiences, and the work would likely continue with no negative effect.  If the FY2024 funding level is 6% less than the request amount the program change would certainly effect some of the shared services agreements  and capacity to complete workload especially in the HR section, as well as OWF access to BLM fleet.  Some budget efficiences would be used to make up a portion of the decrease, but it would be difficult to absorb the entire 6% from the current level of funding, given the rising enflation costs associated with labor and personnel charges. </t>
  </si>
  <si>
    <t>Updated 2023 split as of 3.27</t>
  </si>
  <si>
    <t>New position submitted on FY2024 SLA</t>
  </si>
  <si>
    <t>Gov Labor:  Web Manager GS-13/03</t>
  </si>
  <si>
    <t>Upgrade to GS-13 submitted on FY24 SLA</t>
  </si>
  <si>
    <t>Gov Labor:  Web Assistant GS-9/5</t>
  </si>
  <si>
    <t>Contract conversion submitted on FY24 SLA</t>
  </si>
  <si>
    <t>Gov Labor:  Communications Lead GS-12/5</t>
  </si>
  <si>
    <t>Lamb</t>
  </si>
  <si>
    <t>Gov Labor:  Supv Publications Manager GS-13/3</t>
  </si>
  <si>
    <t>Gov Labor:  Writer/Editor GS-9/5</t>
  </si>
  <si>
    <t>Gholson</t>
  </si>
  <si>
    <t>Vice-Navarro</t>
  </si>
  <si>
    <t>Position Converted to Instructional Syst Spec</t>
  </si>
  <si>
    <t>Position Converted to e-Learning Specialist</t>
  </si>
  <si>
    <t>Wheeler</t>
  </si>
  <si>
    <t>Spence, B.</t>
  </si>
  <si>
    <t>Winskie, J.</t>
  </si>
  <si>
    <t>Gov Labor:  e-Learning Spec GS-11/5</t>
  </si>
  <si>
    <t>Komatz, K.</t>
  </si>
  <si>
    <t>Gov Labor:  AV Production Spec GS-11/5</t>
  </si>
  <si>
    <t xml:space="preserve">     The NWCG Staffing project sheet is showing a 12.25% increase from FY2023 ($480K). It is important to point out that the NWCG Projects sheet is showing a -36.53% decrease (-$728K) from FY2023. Between the two sheets, NWCG is actually requesting a reduction in total funding from FY2023 by -$248K, even with the lavor cost increases applied due to BIL funding of the Systems Improvement project to modernize incident performance and training.                                                                                                                                                                                                                                                                            
•   Some of the increase to the NWCG Staffing sheet is from a required conversion of two contracted positions to federal positions (due to becoming inherently governmental in nature) and adding a position permanently for the WFSTAR audio/visual production that has historically been filled with 3-4 detailers every year - both the contracted positions and detailers were funded on the NWCG Projects sheet prior to FY2024.  
•   The other increases and new positions listed on this FY2024 NWCG Staffing sheet are due to the approved new NWCG Interagency Organizational Chart by the Executive Board.  These new positions and two upgraded positions are required to keep up with the growing demand on NWCG services and workloads.  
      Since 1976 NWCG has added 7 additional member agencies and now manages 17 committees (with 83 subcommittees and 900+ representatives), 112 publications, 132 incident qualifications, and 106 training courses - which only continue to grow.  At its current staffing, NWCG cannot continue to meet the current workload, much less any additional requests.  Consequences of not receiving the additional funding is that many of the current, requested, and expected services will either have to be modified or discontinued.  The impact to employee burnout would result in more frequent employee turnover and loss of historical knowledge with an increase in transition time to full performance.</t>
  </si>
  <si>
    <t>Gov Labor:  WFDSS RD&amp;A Support GS-13/8</t>
  </si>
  <si>
    <t>Gov Labor:  WFDSS Data Manager GS-13/2</t>
  </si>
  <si>
    <t>Gov Labor:  RD&amp;A Data Team Pathways GS-4/5</t>
  </si>
  <si>
    <t>Due to increased workload, unfilled positions, and new data management requirements, the Data Team needs assistance taking care of lower-graded data management, analysis, and maintenance duties best suited for a student position.</t>
  </si>
  <si>
    <t>Project Lead: Jennifer Gibson, NPS</t>
  </si>
  <si>
    <t>Based on high public and operational load on ArcGIS Online we updated the contract to include dedicated database and server resources. This is the actual cost of a contract with ESRI to provide AGOL.  Due to the new DOI Enterprise License Agreement, we expect an FY24 license increase of 10% over FY23 costs.</t>
  </si>
  <si>
    <t>Project Lead: TBD, NPS</t>
  </si>
  <si>
    <t>Funds are used to support existing FFI desktop O&amp;M and FFI web-based modernization through IAA with USGS EROS.  Approximate 5% for inflation.</t>
  </si>
  <si>
    <t>Funding from FWS, NPS, BIA *updated in 2023:space/sq footage update.  2024 Shared Svcs. Space Agreement</t>
  </si>
  <si>
    <t xml:space="preserve">NIFC.gov O&amp;M.  Added to overall space agreement MOU in 2023. </t>
  </si>
  <si>
    <t>FY 2024 % of $610K</t>
  </si>
  <si>
    <t>**NOTE: new percentages for FY2024</t>
  </si>
  <si>
    <t>NPS adding fleet for 2024</t>
  </si>
  <si>
    <t>Related to Tools and Vehicles/Trailers for new personnel. 2023 and 2024.</t>
  </si>
  <si>
    <t>Amick</t>
  </si>
  <si>
    <t>Rodman-Snyder</t>
  </si>
  <si>
    <t>Gov Labor:  Program Coordinator</t>
  </si>
  <si>
    <t>Training, Mobile Exam Events, Presentations</t>
  </si>
  <si>
    <t>IMST Support, SME Consultation</t>
  </si>
  <si>
    <t>Contract services providing medical qualification exams and determinations for DOI Wildland Fire Bureaus.  Anticipated task order issue is July 2024. This request funds exams through July 2025. Mobile on-site exams will be conducted winter/spring of 2024.</t>
  </si>
  <si>
    <t>Project Lead:  Nick Heller, OWF</t>
  </si>
  <si>
    <t>SaaS Microsoft Office 365 Licenses GCC licenses and active directory for FireNet environment. 4,500 licenses estimated at BLM - 555; NPS - 200; FWS - 110; BIA - 60; and FS/Affiliate - 3575, each at a avg cost of $180/license which includes MS Office 365 environment license</t>
  </si>
  <si>
    <t>PowerApps Portal Capacity (2 @ $2300/license)</t>
  </si>
  <si>
    <t>SaaS Licenses in support of PowerApps for Business Intelligence within the FireNet Azure environment to support PowerApps work. (100 @ $224 per app)</t>
  </si>
  <si>
    <t>PowerApps Shared server Licenses (25@$56 per user)</t>
  </si>
  <si>
    <t>Domestic Calling PGCC (500 @ $127 per user)</t>
  </si>
  <si>
    <t>Phone System GCC (500 @ $76/user)</t>
  </si>
  <si>
    <r>
      <t xml:space="preserve">SUPPRESSION </t>
    </r>
    <r>
      <rPr>
        <sz val="11"/>
        <rFont val="Calibri"/>
        <family val="2"/>
      </rPr>
      <t xml:space="preserve">SaaS Microsoft Office 365 Licenses GCC licenses for FireNet environment. 2,500 licenses estimated for seasonal wildland fire operators directly supporting suppression activities, each at a avg cost of $282/license (includes MSO 365 and Azure AD).  </t>
    </r>
    <r>
      <rPr>
        <b/>
        <sz val="11"/>
        <color rgb="FFFF0000"/>
        <rFont val="Calibri"/>
        <family val="2"/>
      </rPr>
      <t xml:space="preserve">Updated 4/12/23 to include Training (QuickHelp) subscription for primarily AD "affiliate" licensed users (2500 @ 10.20/user).  </t>
    </r>
    <r>
      <rPr>
        <sz val="11"/>
        <rFont val="Calibri"/>
        <family val="2"/>
      </rPr>
      <t>Not included in total project sheet cost for DOI allocation purposes.  Not included in total project sheet cost for DOI allocation purposes --</t>
    </r>
    <r>
      <rPr>
        <sz val="11"/>
        <color rgb="FFFF0000"/>
        <rFont val="Calibri"/>
        <family val="2"/>
      </rPr>
      <t xml:space="preserve"> DEPENDENT ON USAGE FROM FY2023: FY2023 Licenses cost total as of 1 MAR 23 = $1.915M</t>
    </r>
  </si>
  <si>
    <t>Monthly Cellular service for Primary User unlimited for data only devices (472), Primary User Unlimited talk, text, and push to talk Enhance for Smartphones (440); total 552, split by %s similar to FireNet; devices managed through USFS</t>
  </si>
  <si>
    <t>$10.20/License (4500 Licenses / $45,900) 
Based on the number of firenet licenses above per agency the cost breakout is as follows: BIA-1.35%  BLM-12.50%  FWS-2.48% NPS-4.50%  FS/Affiliate- 80.52%
numbers are rounded up to the nearest 1K</t>
  </si>
  <si>
    <t>FS funding provided through MOU for FY24 (total $1,031k of which $950k for FireNet licenses, and $491k for FirstNet services).</t>
  </si>
  <si>
    <t>FY 2023 FS funding paid through an IAA.</t>
  </si>
  <si>
    <t>Gov Agreement:  Code Repository Software</t>
  </si>
  <si>
    <t>Houghton</t>
  </si>
  <si>
    <t>Git Solution $300 per license for 3 users</t>
  </si>
  <si>
    <t xml:space="preserve">FY23: Option Year 2: software, helpdesk, installation, integration updates, training and travel. ($1,129 from DOI and $1,129 from FS).  Cost increase of $17K included.                        FY24: Option Year 3: software, helpdesk, National Site License, integration updates, training and travel. ($1,150 from DOI and $1,150 from FS). </t>
  </si>
  <si>
    <t>Contract - Access to softaware, National Site License, Integration Updates, Helpdesk, Training</t>
  </si>
  <si>
    <t>Current acting Stringer, Kara -- moved from WFIT TAB.  Salary - 22 PP IRWIN; 4 PP WildCAD</t>
  </si>
  <si>
    <t>An FFI web-based data collection and protocol management module, combined with the existing FFI data warehouse, will make FFI a fully web-based fire effects monitoring solution for federal and non-federal users. We estimate that the web-based data collection and protocol management module will cost $826,000 (two 6-month task orders of approximately $413,000 each) for USGS EROS to develop and implement this solution. This additional $826,000 will enable the FFI Development Team to design, develop, and implement a user interface and mobile data collection solution that allows FFI users to set up their monitoring program for field plot data collection within the data warehouse, and collect field data electronically to upload data directly to the warehouse. The FFI web application will allow any user to collect, access, analyze, and share monitoring data for a broad variety of purposes, both within the wildland fire community and other entities, including the scientific community.
The FFI desktop application is a complex application that was developed in 2008 and has been enhanced over the past 15 years. The development costs to create the FFI desktop functionality in a web-based application and modernize its data structure, user interface, and data sharing and collection capabilities are relatively high due to the inherent complexity within FFI that is necessary to meet the business needs of field-level fire effects monitoring. Specifically, it is complex to manage user permissions, address the technical difficulties of species management across the nation, project/plot setup and management, and over twenty-five different detailed standard and non-standard monitoring protocols for vegetation and fuels across the entire United States. We anticipate that moving electronically collected data to the web-based application will be reasonably straightforward. USGS EROS will be the long-term host of the FFI web-based application, and any legacy FFI desktop data can be migrated via the current FFI RemoteApp into the FFI data warehouse. 
The data warehouse coupled with the web-based data collection and protocol management module increases potential uses of FFI data across the federal government and eliminates the additional security requirements and costs of maintaining and updating individual desktop or local server instances of FFI and SQL Server Express for all bureaus.  A good example of the power of the data warehouse is that LANDFIRE can now use the FFI data warehouse to download all NPS data for its annual updates, rather than requesting the 135+ databases from the individual park data stewards. In addition, the data warehouse now makes it possible to complete analyses across parks and adjacent federal lands and facilitates the use of FFI data by the research community for broader regional studies (e.g., treatment effectiveness, understanding climate change and fuels treatments interactions, treatment longevity). This one-time request would fund the necessary technical work to make web-based FFI application and future requests would be for operating and maintenance, and enhancements costs only.</t>
  </si>
  <si>
    <t>Project Lead:   Nick Heller, OWF</t>
  </si>
  <si>
    <t xml:space="preserve">Updated to show Nick Heller as OWF -IT PM.  Also supporting Medical Standards Program and LMS (not project sheets) </t>
  </si>
  <si>
    <t>Contracted Business Support and Technical lead for environment (Chevo Business Support Services contract) - Option year 2 begins 7 APR 24 (CB update)</t>
  </si>
  <si>
    <t xml:space="preserve">Funded via OCIO Agreement (Rob Ivie) </t>
  </si>
  <si>
    <t>website and .gov admin</t>
  </si>
  <si>
    <t>update GFE for contracted support</t>
  </si>
  <si>
    <t>FY24 FS Funding for FireNet is planned total $1,031K, of which $950k to be used for Licenses</t>
  </si>
  <si>
    <t>Project Lead:  Jason Fallon / Tami Parkinson / Bre Schueller / Kim Ernstrom / Henry Bastian</t>
  </si>
  <si>
    <t>DOI Split between IFTDSS, LANDFIRE, &amp; NFPORS // OWF FY24 updated</t>
  </si>
  <si>
    <t xml:space="preserve">Support NTE 4 year position for Technical/SME support for IFTDSS.  Thinking is that the position would be within one of the DOI bureaus. </t>
  </si>
  <si>
    <t>This portion of funding supports the Fire Modeling Services Framework (FMSF) (DME/O&amp;M) through a federal agreement with Enterprise Applications Services (EAS). Reduction of funding from FY23 to FY24 is due to a reduced level of effort with security A&amp;A work. Budget estimate includes an inflation adjustment.   Estimated O&amp;M = 300k / DME = 490k</t>
  </si>
  <si>
    <t xml:space="preserve">SAIC AWS OWF Enterprise/Unified Cloud - FMSF portion of cloud costs (In FY22 - FMSF was fully lumped in IFTDSS cloud cost and although still in the broader IFTDSS budget sheet; FMSF costs are lined out here separately as FS has requested that (however, FAM/OWF MOU does not appear to show this breakout).  Funding will support operating the FMSF connected systems use of the Model-As-Service (MaaS) along with supporting new models and tools that have been added. Funding is still generally estimated as the work on this is in process while budget submissions are due {9/2022} and as billing from SAIC is behind so O&amp;M costs are not fully known (invoices continue to be behind 4/11/2023).  NOTE: $30K in Parent includes the following: 1). OVER-TARGET REQUEST for $30k as the SAIC AWS contract will be going through a renewal with FCHS2 and 2). Cost increases with inflation.  $20k is also placed in Parent factoring in a 13% increase. INFLATION JUSTFICATION: Given the cost increases we are seeing in all kinds of contracts/agreements with the economy and inflation; this 20k is being included as an adjustment factor to account for potential increased costs.  The 13% may be within reason but some of the ones being seen as of October 2022 are showing that these inflation adjustments are higher (some around 25% with some more). </t>
  </si>
  <si>
    <t xml:space="preserve">SAIC AWS OWF Enterprise/Unified Cloud - IFTDSS/FTEM portion of cloud costs. Funding is still generally estimated here (as with FMSF part above) as the work on this budget {9/2022} as billing from SAIC is behind so O&amp;M costs are not fully known.  NOTE: $83K in Parent includes the following: 1). OVER-TARGET REQUEST for $50k as the SAIC AWS contract will be going through a renewal with FCHS2 and 2). Cost increases with inflation.  $33k is also placed in Parent factoring in a 13% increase. INFLATION JUSTFICATION: Given the cost increases we are seeing in all kinds of contracts/agreements with the economy and inflation; this 33k is being included as an adjustment factor to account for potential increased costs.  The 13% may be within reason but some of the ones being seen as of October 2022 are showing that these inflation adjustments are higher (some around 25% with some more). </t>
  </si>
  <si>
    <t>Other Non-Federal Contractual Services: System O&amp;M - IFTDSS/FTEM</t>
  </si>
  <si>
    <t>Escalante/Ivie</t>
  </si>
  <si>
    <t>NOTE: FY24 update &gt; FS was initially at $919,500. FS adding $765,500 of BIL funding through FAM/OWF IAA.  The $1,857 for FY24 is an estimate at this time as FS has not fully done a FY24 budget but is based on information provided by PM to FS budget/managers on 3/14/2023.  Previous note from FY23 budget sheet is also helpful in providing context if needed.  FY 2023 also had a BIL IAA with FS providing an additional $748K in funding in support of IFTDSS.</t>
  </si>
  <si>
    <t>Budget Leads: Andrea Vigil, BLM</t>
  </si>
  <si>
    <t>Vice Wendy Christopher</t>
  </si>
  <si>
    <t>Andrea Vigil</t>
  </si>
  <si>
    <t xml:space="preserve">FY24 Oracle Software expense of $105,000, Peoplesoft Software Licenses $345,000, and Digicert Licensure of $3,000  ---- FY23  105K for Oracle Database Support / 335K for Peoplesoft software and support.   </t>
  </si>
  <si>
    <t>Civ pay updated per OWF Budget projection 4/12</t>
  </si>
  <si>
    <t>FY24 anticipate Stringer, Kara -- moved from WFIT TAB.  Salary - 22 PP IRWIN; 4 PP WildCAD</t>
  </si>
  <si>
    <t>Acting Stringer</t>
  </si>
  <si>
    <t>Budget Leads: Acting Kara Stringer</t>
  </si>
  <si>
    <t>DOI Split between IFTDSS, LANDFIRE, &amp; NFPORS // FY24 OWF Budget updated</t>
  </si>
  <si>
    <t xml:space="preserve">In FY 2024 LANDFIRE continues to focus on producing an "Annual" update of products assuming funding is available and LF continues to be supported.  Rough budget amount for total program is around 3.6M annually (approximately a 50/50 split in funding with 1.8 FS &amp; 1.8 DOI) depending on the year (and not accounting for inflation or USGS Overhead burden rates).                                                                                                  Parent column amounts include the following:  1). OVER-TARGET amount of $300K.  Remains the same as for FY23 as it is not clear if this funding and items are supported.   Additional funding could help or realize the following improvements within LANDFIRE:                                                                                                A. Work on continuous remap prototype efforts to improve quality of data over time and reduce the amount of funding needed in a bump up to support a remap project (100k).                                                                                                                                                                                                                                                                                                                                                                                                                                                                                                                                          B. Develop and provide an annual LCP/GeoTIFF product in January of each year (200k)                                                                                                     C. If items 1 or 2 are not done/supported, other options could include some of the following &gt; TreeMap, SDI, PLC, SnagHaz, etc.                              2). INFLATION JUSTFICATION: There are cost increases we are seeing across the board with inflation and $465k is also placed in Parent factoring in a 15% increase. Given the cost increases we are seeing in all kinds of contracts/agreements with the economy and inflation; this 465k is being included as an adjustment factor to account for potential increased costs.  The 15% may be within reason but some of the ones being seen as of October 2022 are showing that these inflation adjustments are higher (some around 25% with some more - this was the case as contract negotiations are still in process with USGS 10/20/2022 and vendor provided cost for this next year - basically FY23 of $3.9).                                                                                    4/11/2023 update &gt; USGS is communicating that overhead burden rate for 2023 will be almost 22%. </t>
  </si>
  <si>
    <t xml:space="preserve">Management Reserve - Industry best practices target a 10% amount for management reserve.  The $110,000 is less than this best practice.  Funding would be used to mitigate risks and budget uncertainty.  Moved to Parent as this has not been supported in the past so listing it there.  If it is supported it needs to be moved to OWF. </t>
  </si>
  <si>
    <t xml:space="preserve">                                                                                                                                                                 Additional funding increased could help the following improvements within LANDFIRE:                                                                                                 1. Work on continuous remap effort to improve quality of data over time and reduce the amount of funding needed in a bump up to support a remap project (100k).                                                                                                                                                                                                                                                                                                                                                                                                                                                                                                                                        2. Develop and provide an annual LCP/GeoTIFF product in January of each year (200k)                                      3. If items 1 or 2 are not done/supported, other options could include some of the following &gt; TreeMap, SDI, PLC, SnagHaz, etc.  </t>
  </si>
  <si>
    <t>DOI Split between IFTDSS, LANDFIRE, &amp; NFPORS // OWF FY24 Update</t>
  </si>
  <si>
    <t>Security A&amp;A and ATO process; Position with OCIO for ISSO role on OWF projects.  Shared across other OWF projects: IRWIN, Firenet, IFTDSS, etc.    NOTE:  OVER-TARGET of $10K in Parent.  Given costs with this position have been higher in the past increasing this by 10k in FY24. The over target amount would help buffer any increased costs with the position with OCIO for ISSO role on DOI projects.</t>
  </si>
  <si>
    <t xml:space="preserve">BAH contract (mainly T&amp;M).  Plan is to do a follow on contract to keep legacy NFPORS running until 2024/2025.   Annualized cost (~250k). NOTE: $33K in Parent includes cost increases with inflation factoring in a 13% increase. INFLATION JUSTFICATION: Given the cost increases we are seeing in all kinds of contracts/agreements with the economy and inflation; this 33k is being included as an adjustment factor to account for potential increased costs.  The 13% may be within reason but some of the ones being seen as of October 2022 are showing that these inflation adjustments are higher (some around 25% with some more - This was the case with the NFPORS BAH contract completed at the end of the FY22 fiscal year and fortunately we negotiated it down to 12%). </t>
  </si>
  <si>
    <t>Escalante / Ivie</t>
  </si>
  <si>
    <t xml:space="preserve">BPS - Business Performance Systems contract  (Architecture Review, Geospatial Service, and Documentation); 4/11/2023 &gt; need to confirm with Buzo if we are keeping this or not; may drop. </t>
  </si>
  <si>
    <t>Budget Leads:  Andrea Vigil, BLM</t>
  </si>
  <si>
    <t>Project Lead: Matt Cifa - USFS (Contract);
Jaymee Fojtik - DOI</t>
  </si>
  <si>
    <t>Gov Agreement: Code Repository Software</t>
  </si>
  <si>
    <t xml:space="preserve">GIt Solution at $300 per license for 5 users </t>
  </si>
  <si>
    <t>Update computers, background check, GFE for contractors, phones, tablets, etc.</t>
  </si>
  <si>
    <t>WFDSS is a required national interagency system that assists fire managers and analysts in making and documenting strategic and tactical decisions for fire incidents.</t>
  </si>
  <si>
    <t>Provide support for WFDSS and the refresh to include requirements outlined in the Dingell Act.  Support the expansion of the models to the IFTDSS fire modeling services framework (FMSF), to support User Requested and CCB approved changes while remaining current in the WFIT Data Exchange Environment and enhance data used in WFDSS for analysis i.e. improve cadastral data, and data processing procedures and processes. The Target amount of funding allows for a WFDSS contribution to the Fire Modeling Services Framework effort in support of feeding the WFDSS algorithms for analysis. This budget supports funding a DOI Product Owner/Business Lead (vacant) and a Data Support poistion (Rumsey) to support WFDSS full time.  Both postions require a GS-13 grade level, hired through the NPS and included in the WFMRD&amp;A project funding.</t>
  </si>
  <si>
    <t>Hickey</t>
  </si>
  <si>
    <t>Hannemann</t>
  </si>
  <si>
    <t>Budget Lead:  Andrea Vigil, BLM</t>
  </si>
  <si>
    <t>Request FY 2024:</t>
  </si>
  <si>
    <t>Minidoka Fire Equipment Storage Replacement</t>
  </si>
  <si>
    <t>Salmon Crew Quarter Construction</t>
  </si>
  <si>
    <t>Big Cypress Fire Station Replacement (Phase 2 of 2)</t>
  </si>
  <si>
    <t>ID</t>
  </si>
  <si>
    <t>OR</t>
  </si>
  <si>
    <t>FL</t>
  </si>
  <si>
    <t>MT</t>
  </si>
  <si>
    <t>Ogilvie</t>
  </si>
  <si>
    <t>FY 2023 straight-line funding impacts would be highly dependent on labor cost. Reductions to this request would be made in travel, training, support and consultation. Reduction in travel would likely impact COR support to on-site medical exam events and reduce program manager's focus on leadership and coordination in health, wellness, and safety. Reduction in training would eliminate developmental training. Reduction in ISSO support could impact system security monitoring and compliance.</t>
  </si>
  <si>
    <t>Project Lead: Kaili McCray, OWF</t>
  </si>
  <si>
    <t>Provide medical qualification exams, medical review, medical consultation, and one anticipated mobile exam event in FY24. Reduction in budget reflects a decrease in mobile exams from FY23.</t>
  </si>
  <si>
    <t>Decision will be made whether this will be included in annual MOU or through an IAA</t>
  </si>
  <si>
    <t>Program funding provided to the USFS by the DOI to support the wildfire preparedness initiative of the International Association of Fire Chiefs (IAFC), Wildland Fire Policy Committee wildland urban interface (WUI) project, and the IAFC annual WUI conference. Funding to IAFC focuses on supporting the existing Ready, Set, Go! 
POC: Kim VanHemelryck</t>
  </si>
  <si>
    <t>Gov Agreement:  OHC Position Funding (Compensation Specialist)</t>
  </si>
  <si>
    <t>Gov Agreement:  OHC Position Funding (Classification Specialist)</t>
  </si>
  <si>
    <t>Wildland fire preparedness, Suppression spending forecasts, and Office of Human Capital personnel support for wildland fire workforce reform, including position descriptions and compensation reform.</t>
  </si>
  <si>
    <t>During 2023, funding is provided to USFS to support the International Association of Fire Chiefs' preparedness initiative and to provide Suppression spending forecasts to the Office of Wildland Fire. OWF also is funding a Office of Human Capital (OHC) position to support the entire program with workforce reform (classification expertise). The increase recommended for 2024 is to support an additional OHC position (compensation expertise).</t>
  </si>
  <si>
    <t>The increase recommended for 2024 is to support an additional (second) OHC position to provide compensation expertise to the entire Wildland Fire program. It is a very high priority given the 2024 Budget request's firefighter pay reform proposals, which will require significant changes when implemented by Interior.</t>
  </si>
  <si>
    <t>Briefly describe FY 2023 deliverables and any budget or implementation changes from FY 2024.</t>
  </si>
  <si>
    <r>
      <rPr>
        <b/>
        <sz val="9"/>
        <color theme="1"/>
        <rFont val="Arial"/>
        <family val="2"/>
      </rPr>
      <t>PERFACT</t>
    </r>
    <r>
      <rPr>
        <sz val="9"/>
        <color theme="1"/>
        <rFont val="Arial"/>
        <family val="2"/>
      </rPr>
      <t xml:space="preserve">
The request has been increased by 10% to reflect increased costs due to inflation. If less is received in the final budget than the president's request then the agreement would be reduced proportional to the difference.  </t>
    </r>
  </si>
  <si>
    <t>Salary - 6  PP WFDSS; 20 PP CAD</t>
  </si>
  <si>
    <t>Salary - 20 PP CAD; 6 PP WFDSS</t>
  </si>
  <si>
    <t>Activity Name:  DOI Physical &amp; Mental Health Operations</t>
  </si>
  <si>
    <t>2023 was only for 9-months, 2024 shows full amount.</t>
  </si>
  <si>
    <t>BIA-Nelda</t>
  </si>
  <si>
    <t>Calculated/ FINAL</t>
  </si>
  <si>
    <t>5/22/23</t>
  </si>
  <si>
    <t>2024 Fixed Costs</t>
  </si>
  <si>
    <t>2024 Workforce/Compensation</t>
  </si>
  <si>
    <t>Update FY 2024 fixed cost based on updates provided by POB for FY 2025 budget process</t>
  </si>
  <si>
    <t>Travel for national coordinators, BAER team leadership, and National BAER team members to biannual meeting and leadership meeting.  FY 2024 Travel for National Leadership Team Members only.  Travel for BAER team members to attend L-381</t>
  </si>
  <si>
    <t>L 381 Training</t>
  </si>
  <si>
    <t>Estimated cost of the L-381, Fireline Leadership course.  Agency sponsor TBD</t>
  </si>
  <si>
    <t>Update BAR Project sheet per request and allocation levels per allocation percentage updates for FY 2024</t>
  </si>
  <si>
    <t>Percent distribution based on 5 year average acres burned L-48 (2018-2022)</t>
  </si>
  <si>
    <t>Distribution from 07/28/2023 Draft Analysis</t>
  </si>
  <si>
    <t>Kat Navarro</t>
  </si>
  <si>
    <t>Gov Labor:  Program Manager (PHS O-5)</t>
  </si>
  <si>
    <t>Gov Labor:  Program Specialist (PHS O-5)</t>
  </si>
  <si>
    <t>Patty Obrien</t>
  </si>
  <si>
    <t>Holland Foshay</t>
  </si>
  <si>
    <t>Dana Lee</t>
  </si>
  <si>
    <t>Gov Labor: Administrative Assistant</t>
  </si>
  <si>
    <t>HHS Position Funded by FS in 2023 full salary will shift to DOI in 24 and count for one of DOI's joint positions</t>
  </si>
  <si>
    <t>Medical Surveillance Development</t>
  </si>
  <si>
    <t>Project Lead: Kaili McCray and Kat Navarro, OWF</t>
  </si>
  <si>
    <t>Split 50/50 with FS TBD where they sit</t>
  </si>
  <si>
    <t>Other: Full Clinical Contract Cost</t>
  </si>
  <si>
    <t>Briefly explain what tradeoffs would be made if funding level is not received at the requested level. At minimum, present options at FY 2023 straight-line level from FY 2024 request.</t>
  </si>
  <si>
    <t>Update Summary to reflect continued Tribal Compensation in Prep and Fuels for annual funding under CR level</t>
  </si>
  <si>
    <t>Update OWF Budget estimates for Prep and Fuels</t>
  </si>
  <si>
    <t>Update Mental Health project sheet based on approved funding level</t>
  </si>
  <si>
    <t>Project Lead: Dustin Smith</t>
  </si>
  <si>
    <t>Update RSFWSU (RAWS) SLA sheet for increased FWS service</t>
  </si>
  <si>
    <t>Gov Agreement:  Contracting Support</t>
  </si>
  <si>
    <t>IBC-AQD</t>
  </si>
  <si>
    <t>Contracting support previously funded as FTE through BLM moved to OWF IAA with IBC-AQD</t>
  </si>
  <si>
    <t>Update Med Standards Ops sheet for Contract support change from BLM to OWF IAA with IBC-AQD.</t>
  </si>
  <si>
    <t>FY23 Budget Approved by Exec Board and FY24 projects approved by Exec Board March 15, 2023.</t>
  </si>
  <si>
    <t>Update NWCG Prep Projects SLA sheet based on approved funding level.</t>
  </si>
  <si>
    <t>Funding off the top to OWF for WFLP LMS services approved by NWCG</t>
  </si>
  <si>
    <t>Funding to OWF for WFLP LMS services provided through FS annual agreement for FS specific support</t>
  </si>
  <si>
    <t>HR Specialist, GS-11/3</t>
  </si>
  <si>
    <t>HR Specialist, GS-9/2</t>
  </si>
  <si>
    <t xml:space="preserve">HR Specialist, GS-9/3  9 month perm. seasonal position </t>
  </si>
  <si>
    <t xml:space="preserve">HR Specialist, GS-9/1  9 month perm. seasonal position  </t>
  </si>
  <si>
    <t>HR Assistant, GS-06/1  (FPL 7)</t>
  </si>
  <si>
    <t>HR Assistant, GS 06/1  (FPL 7)</t>
  </si>
  <si>
    <t xml:space="preserve">HR Assistant, GS 06/1  (FPL 7) </t>
  </si>
  <si>
    <t>Business Lead: Kim VanHemelryck, OWF;       TBD - DOI (NPS)</t>
  </si>
  <si>
    <t>Business Lead: Kim VanHemelryck, DOI;
Julie Polutnik - USFS</t>
  </si>
  <si>
    <t>"  "</t>
  </si>
  <si>
    <t>"  " PHS Actual cost vs. 9/11</t>
  </si>
  <si>
    <t>Program initiation first year, training etc.</t>
  </si>
  <si>
    <t>FY 2024:  FULL Clinical support Services</t>
  </si>
  <si>
    <t>Other: Contract Cost</t>
  </si>
  <si>
    <t>TBD based on DOI final commitment ~ 40/60 program cost</t>
  </si>
  <si>
    <t>Gov Agreement:  PHS Clinical Administrator</t>
  </si>
  <si>
    <t>Gov Agreement:  PHS Program Manager</t>
  </si>
  <si>
    <t>Gov Agreement: PHS Clinician</t>
  </si>
  <si>
    <t>Gov. Agreement: PHS Case Manager</t>
  </si>
  <si>
    <t>Gov Agreement: PHS Case Manager</t>
  </si>
  <si>
    <t>Gov Agreement: PHS Data/Quality</t>
  </si>
  <si>
    <t>Gov Agreement: PHS Prevention/Education</t>
  </si>
  <si>
    <t>Gov Agreement: Program Evaluation/Quality Assessment</t>
  </si>
  <si>
    <t>Gov Agreement: Medical Surveillance</t>
  </si>
  <si>
    <t>Gov Agreement: Health Promotion</t>
  </si>
  <si>
    <t>FY 2024: Initial Funding Needs Assessment Contracts and Physcal Health ($400) and Readiness (fatigue management and HPO) ($275) contracts.</t>
  </si>
  <si>
    <t>Disaster Relief CR</t>
  </si>
  <si>
    <t>Update CR1 funding level and bureau allocation</t>
  </si>
  <si>
    <t>Reflect Inform contract funding for BLM and reflect remaining DME/Maint held in Parent</t>
  </si>
  <si>
    <t>NPS CR DR ~ Suppression</t>
  </si>
  <si>
    <t>Record NPS transfer of DR ~ Suppression for large fire invoice payment</t>
  </si>
  <si>
    <t>Security A&amp;A and ATO process. Updated to reflect increased cost.  Anticipate use of FY 2023 carryover to defray cost.</t>
  </si>
  <si>
    <t>Maintain CR funding level.</t>
  </si>
  <si>
    <t>Contract- WildCad Alternative Support during FAM Outages.</t>
  </si>
  <si>
    <t>Updated to reflect additional cost.  Anticipate use of FY 2023 carryover to defray cost.</t>
  </si>
  <si>
    <t>Contract - ZenDesk Support</t>
  </si>
  <si>
    <t>Contract - Azure Monetary Credits</t>
  </si>
  <si>
    <t>Security A&amp;A and ATO process.  Updated to reflect increased cost.  Anticipate use of FY 2023 carryover to defray cost.</t>
  </si>
  <si>
    <t>Maintain CR funding level</t>
  </si>
  <si>
    <t>Update CAD, FIRENET, and IRWIN funding request to reflect increase in project cost</t>
  </si>
  <si>
    <t>$704K including $110K carryover to defray cost</t>
  </si>
  <si>
    <t>$328K including $ 75K carryover to defray cost</t>
  </si>
  <si>
    <t>Update with BLM Carryover to defray cost for FIRES, Med Stds, and IQCS</t>
  </si>
  <si>
    <t>Additional CR Transfers</t>
  </si>
  <si>
    <t>CR Workforce Compensation</t>
  </si>
  <si>
    <t>Update CR1 funding allocations to bureaus for Preparedness, including workforce incentives, and Fuels Management</t>
  </si>
  <si>
    <t>Update CR2 funding allocations to bureaus</t>
  </si>
  <si>
    <t>Moved from NPS to BLM in FY 2024</t>
  </si>
  <si>
    <t>FY2023 FTE Preparedness</t>
  </si>
  <si>
    <t>Update Actual FY 2023 FTE information for Fixed Cost split</t>
  </si>
  <si>
    <t>CR2 Transfers</t>
  </si>
  <si>
    <t>Reflect BAR funding allocation approved for FY 2024 CR</t>
  </si>
  <si>
    <t>$84K Prep and $119K Fuels</t>
  </si>
  <si>
    <t>Reflect NPS LLC carryover offset</t>
  </si>
  <si>
    <t>FY 2023 reflect FS funding not provided; moved from WFMRD&amp;A.  Adjust to CR Approved Funding level</t>
  </si>
  <si>
    <t>FS did not provide in FY 2023</t>
  </si>
  <si>
    <t>Update WFMRD&amp;A and AGOL FY 2023 information</t>
  </si>
  <si>
    <t>OCIO</t>
  </si>
  <si>
    <t>Workforce analysis for outreach and planning.  Est of $477K split between Prep and Fuels 50/50.  Increased cost anticipated for FY 2024 funded through carryover offset from Parent not previously used.</t>
  </si>
  <si>
    <t>Update Disaster Relief funding to NPS ($3M)</t>
  </si>
  <si>
    <t>BAR Bureau CR2 Allocation</t>
  </si>
  <si>
    <t>DR ~ Suppression Transfer</t>
  </si>
  <si>
    <t>Update OWF Carryover funding currently available</t>
  </si>
  <si>
    <t>Update BIL funding transfers from current year funding</t>
  </si>
  <si>
    <t>Detail support while Dr. Obrien is on detail to DAS-PRE</t>
  </si>
  <si>
    <t>GS 12 ~ Adjusted 1/08/24 $75K to BLM for detail while Dr. Obrien is detailed to DAS-PRE</t>
  </si>
  <si>
    <t>Adjust Physical and Mental Health Stds project sheet to reflect BLM detail position and reduced OWF Admin Assist position.</t>
  </si>
  <si>
    <t>BIL Transfer</t>
  </si>
  <si>
    <t>Contract will be recompeted in 2023, will absord tasks that were in the Data Support Contract cost O&amp;M and development contract for Option Year 4.  Includes travel for contractors under new contracting cycle beginning in FY 2024.</t>
  </si>
  <si>
    <t>Briefly explain what tradeoffs would be made if funding level is not received at the requested level. At minimum, present options at FY 2024 straight-line and 5% reduction level from request.</t>
  </si>
  <si>
    <t>Update Disaster Relief funding to BIA ($6M)</t>
  </si>
  <si>
    <t>CR3 Funding</t>
  </si>
  <si>
    <t>CR3 Allocation Transfers</t>
  </si>
  <si>
    <t>Update CR3 funding and allocations to bureaus</t>
  </si>
  <si>
    <r>
      <t xml:space="preserve">Management Reserve - Industry best practices target the amount of 10% to be placed in a project management reserve.  The $75K is less than 10% of the project costs and would be used to mitigate risks and support funding the project.  Placing in Parent given this has not been supported in the past.   </t>
    </r>
    <r>
      <rPr>
        <sz val="11"/>
        <color rgb="FFFF0000"/>
        <rFont val="Calibri"/>
        <family val="2"/>
        <scheme val="minor"/>
      </rPr>
      <t>Increase reserve by $114 for higher cost experienced in FY 2023 due to delay in transition.</t>
    </r>
  </si>
  <si>
    <t>Update NFPORS funding for change in cost experienced in FY 2023.</t>
  </si>
  <si>
    <t>Update Disaster Relief funding to BLM ($10M) and Fuels agreements transfer to FS for TNC funding from $900K to $1M</t>
  </si>
  <si>
    <t>Carryover used to defray Prep ($185K) and Fuels ($167)</t>
  </si>
  <si>
    <t>Carryover to defray includes Prep ($144K) and Fuels ($74K) related to FY 2023 licensing cost not used.  Funding to be used for increase in Data Management Support contract cost in FY 2024.</t>
  </si>
  <si>
    <t>Amounts will be updated when increased contract cost is added.</t>
  </si>
  <si>
    <t>Update OWF Carryover funding currently available and FS funding for CAD</t>
  </si>
  <si>
    <t>Carryover from FY 2023</t>
  </si>
  <si>
    <t xml:space="preserve">Gov Labor:  Data Management Spec - Fire Environment        GS-343-13 </t>
  </si>
  <si>
    <t>Maxwell</t>
  </si>
  <si>
    <t>6-month Detail Position</t>
  </si>
  <si>
    <t>Data Mgmt - 30; Detailer - 10</t>
  </si>
  <si>
    <t>Record OWF transfer of DR~Suppression</t>
  </si>
  <si>
    <t>DR Suppression CR Funding</t>
  </si>
  <si>
    <t>Contract: Licensing</t>
  </si>
  <si>
    <t>WFCHES</t>
  </si>
  <si>
    <t>Splunk software licensing for WFCHES NG application and other application hosted in WFCHES.  Security requirements to assist the WFDSS NG team to manage notifications, alearts, releases and requirements.</t>
  </si>
  <si>
    <t>Carryover from FY 2023. Used to offset cost of required Splunk software licensing.</t>
  </si>
  <si>
    <t>Update WFDSS; WFIT Staff; Landfire; and Carryover funding information</t>
  </si>
  <si>
    <t>Gov Labor:  Detailer</t>
  </si>
  <si>
    <t>Detailer to fill in behind Ernstrom while on detail to OWF.</t>
  </si>
  <si>
    <t>Staff to fill in behind Kim Earnstrom funded in WFMRD&amp;A consistent with the other NPS staff supporting WFMRD&amp;A/WFDSS</t>
  </si>
  <si>
    <t>Product Owner/Business Lead and Rumsey Data Manager travel.  Parent funding sent to NPS WFMRD&amp;A</t>
  </si>
  <si>
    <t>Summer Detailers in support of analysis during Fire Season.  Parent funding sent to NPS in WFMRD&amp;A.</t>
  </si>
  <si>
    <t>Salary - 26 PP @ GS-13/5.  Moved to WFMRD&amp;A in FY 2023 with other NPS funded WFDSS positions for consistency.  Funding to transfer to NPS once position is filled.</t>
  </si>
  <si>
    <t>Update WFMRD&amp;A to reflect detailer position to fill in behind Ernstrom; WFDSS and CAD for Carryover and project sheet updates.</t>
  </si>
  <si>
    <t xml:space="preserve"> National Coordination System Committee request for altered/enhanced training support.  Funding provided offset with carryover funding included below.</t>
  </si>
  <si>
    <t>CDAT funding ~ service provided to FS</t>
  </si>
  <si>
    <t>Carryover funding from FY 2023.</t>
  </si>
  <si>
    <t>BLM Fire Program Travel Cost</t>
  </si>
  <si>
    <t>Update InForm to reflect BLM travel cost request</t>
  </si>
  <si>
    <t>OWF Prep Transfer</t>
  </si>
  <si>
    <t>Update OWF Preparedness ($1M) funding transfer; BIA DR~Suppression ($10M) transfer; and revised CR3 authorized funding levels.</t>
  </si>
  <si>
    <t>BIA DR Suppression Funding</t>
  </si>
  <si>
    <t>CR3 Revised Funding</t>
  </si>
  <si>
    <t>CR2 Funding</t>
  </si>
  <si>
    <t>Aviation Assets ~ Supp</t>
  </si>
  <si>
    <t>Suppression Department-Wide Activities</t>
  </si>
  <si>
    <t xml:space="preserve">Contract decrease by $29,000. AV decrease for option year is offset with FT increase - part of vendor proposal. </t>
  </si>
  <si>
    <t>Add requested in FY 2023 of 2 BIA ATGS Contract aircraft with DRTI demonstrated capabilities, transitioning from sole-source National Guard Aircraft to accomplish program objectives. This is reflected in the FY 2024 projections.  12 aircraft will renew contracts in 2024.  Contract increase est 250%.</t>
  </si>
  <si>
    <t>Aviation Assets ~ Prep</t>
  </si>
  <si>
    <t>Update Aviation Project information including Preparedness and Suppression funding requirements</t>
  </si>
  <si>
    <t>Update Disaster Relief funding to BLM ($30M)</t>
  </si>
  <si>
    <t>Contract increase est - 250%. 6 aircraft increased to 120 day MAP. Aircraft by bureau BLM=34 BIA=1; Moved from Preparedness to Suppression funded in FY 2024 due to unsustainable cost increases for aviation contracts under Preparedness.</t>
  </si>
  <si>
    <t>Fuels funding carryover to defray cost.</t>
  </si>
  <si>
    <t>Update Landfire FS contribution</t>
  </si>
  <si>
    <t>Carryover</t>
  </si>
  <si>
    <t>CR4 Funding</t>
  </si>
  <si>
    <t>Update CR4 funding</t>
  </si>
  <si>
    <t>Enacted         FY 2024</t>
  </si>
  <si>
    <t>DR Suppression Funding Transfer</t>
  </si>
  <si>
    <t>Reflect current year BIL fuels funding to OWF ($2,604K)</t>
  </si>
  <si>
    <t>Update Enacted Funding</t>
  </si>
  <si>
    <t>Adjust BAR allocation funding based on previously provided project funding and based on reduced enacted level received.</t>
  </si>
  <si>
    <t>4th CR and 30-Day Authority transfer level</t>
  </si>
  <si>
    <t>30-Day Authority Funding</t>
  </si>
  <si>
    <t>Update Bureau Allocations for CR4 and Enacted 30-Day Authority</t>
  </si>
  <si>
    <t>CR4 and 30-Day Authority Transfer</t>
  </si>
  <si>
    <t>FY 2024 Fixed Costs</t>
  </si>
  <si>
    <t>FY 2024 Program Change (program reduction/increase)</t>
  </si>
  <si>
    <t>FY 2024 Program Change (ATB)</t>
  </si>
  <si>
    <t>FY 2024 Enacted</t>
  </si>
  <si>
    <t>FY 2024 Program Change (Maintain 10-Yr Avg at FY15 Level)</t>
  </si>
  <si>
    <t>FY 2024 Program Change</t>
  </si>
  <si>
    <t>FY 2024 Enacted Appropriation</t>
  </si>
  <si>
    <t>Initial Percentage Distribution based on 40% of 10-year avg (2013 - 2023)</t>
  </si>
  <si>
    <t>Update Prep/Fuels Percentages based on Final Enacted Levels</t>
  </si>
  <si>
    <t>FY2023 FTE Preparedness with Tribal FTE</t>
  </si>
  <si>
    <t>FY2023 FTE percent</t>
  </si>
  <si>
    <t>FY2023 FTE Fuels</t>
  </si>
  <si>
    <t xml:space="preserve">FY2023 FTE BAR </t>
  </si>
  <si>
    <t>Note: Actual FY 2024 BAR transfers were based on original $20M CR amount, so not all bureaus received their full funding level and will instead need to use BIL~BAR funding to complete some projects anticipated to use "regular" BAR funding.</t>
  </si>
  <si>
    <t xml:space="preserve"> FY 2023 Direct Prep Allocations</t>
  </si>
  <si>
    <t>FY 2023 Program Additions and Subtractions</t>
  </si>
  <si>
    <t xml:space="preserve"> FY 2023 Direct Program Fuels Allocations</t>
  </si>
  <si>
    <t>Update Fuel Agreement request to include $200K project support for Forest Service</t>
  </si>
  <si>
    <t>Amount Calculated</t>
  </si>
  <si>
    <t>Amount Transferred</t>
  </si>
  <si>
    <t>Difference (more/(less))</t>
  </si>
  <si>
    <t>BAR project funds. Based on FY 24 Department approved allocation formula.  Enacted funding was less than half of CR level resulting in some bureaus receiving more funding than they otherwise would.  Additional funding needs should be requested as BIL funding.</t>
  </si>
  <si>
    <t>Adjust BIA ~ Tribal compensation to 50/50 between Prep and Fuels, at $6M each</t>
  </si>
  <si>
    <t>Adjust a portion of BIA RTRL ($11M) from Fuels to BIL funding due to reduced funding level in Fuels</t>
  </si>
  <si>
    <t>FS reimbursement is 60% of the cost</t>
  </si>
  <si>
    <t>Grass Valley Fire Crew Quarters Repair (Phase 1 of 2)</t>
  </si>
  <si>
    <t>Lewistown Fire Crew Quarters Construction (Phase 1 of 2)</t>
  </si>
  <si>
    <t>Update FS reimbursement amount for FxNet and Facilities projects funded in FY 2024</t>
  </si>
  <si>
    <t>Final Total</t>
  </si>
  <si>
    <t>Carryover applied</t>
  </si>
  <si>
    <t>Transfer DR Suppression Allocation to Suppression</t>
  </si>
  <si>
    <t>Reverse DR Preparedness CR Funding</t>
  </si>
  <si>
    <t>Moore</t>
  </si>
  <si>
    <t>Ernstrom; McClendon; and Moore</t>
  </si>
  <si>
    <t>Adjust OWF Prep ($221K) and Fuels ($62K) Budget for Carryover from FY 2023</t>
  </si>
  <si>
    <t>NPS CR DR ~ Suppression Return</t>
  </si>
  <si>
    <t>Enacted Funding Transfer</t>
  </si>
  <si>
    <t>Enacted Funding</t>
  </si>
  <si>
    <t>BLM= 4 aircraft contracts renewed in 2024. Contract increase est 200%. BLM=1 aircraft contract default and will be covered by CWN helicopter at increase of 200%.</t>
  </si>
  <si>
    <t>Increase in number to reflect NPS addition authorized for Everglades.  BLM = 4 aircraft will renew contracts in 2024. Contract increase est 130%. BLM= 2 aircraft will utilize CWN contract increase est 200%.</t>
  </si>
  <si>
    <t>BLM Fleet cost 2-lead planes / 2-utility aircraft / 1- smokejumper aircraft</t>
  </si>
  <si>
    <t>Contract increase $25,800. Final option year of contract for BLM. Aircraft by bureau BLM=4 BIA=2</t>
  </si>
  <si>
    <t>FY 2024 funded aviation at ~ FY 2023 level in Preparedness and due to significant increase in aviation cost for new 5-year contract solicitations, Single Engine Air Tankers were moved from Preparedness to Suppression for Exclusive Use availability funding.</t>
  </si>
  <si>
    <t>FY 2020 aviation funding level held at FY 2017 enacted level.  FY 2021 to Bureau provided at FY 2020 plus 3%. FY 2022 held at FY 2021 level, plus NPS T-3 Helo for Everglades ($240K).  FY 2023 funded aviation request.  FY 2024 funded aviation at ~ FY 2023 level and due to significant increase in aviation cost for new 5-year contract solicitations, Single Engine Air Tankers were moved from Preparedness to Suppression for Exclusive Use availability funding.</t>
  </si>
  <si>
    <t>Update Aviation Project information to reflect Preparedness and Suppression funding requirements</t>
  </si>
  <si>
    <t>Firefighter Retention Bonus ~ Continuation of BIL</t>
  </si>
  <si>
    <t>Suppression Common Services</t>
  </si>
  <si>
    <t>Include Retention Bonus funding allocation information for Preparedness and Suppression.</t>
  </si>
  <si>
    <t>Activity Name:   Smoke Positions</t>
  </si>
  <si>
    <t>Project Lead:   Casey Teske</t>
  </si>
  <si>
    <t>Budget Leads: Gilian Fay</t>
  </si>
  <si>
    <t>FY 2024 TARGET Request</t>
  </si>
  <si>
    <t>GS-13 salary @ 6 months</t>
  </si>
  <si>
    <t>Miscellaneous new hire supplies</t>
  </si>
  <si>
    <t>Miscellaneous new hire equipment: phone, computer, etc…</t>
  </si>
  <si>
    <t>Gov Labor:  Smoke Management Specialist (GS-13)</t>
  </si>
  <si>
    <t>$120K PCS x 2, $2.5K travel x 4</t>
  </si>
  <si>
    <t>Smoke Positions</t>
  </si>
  <si>
    <t>Prior to FY 2024 funding was provided to NPS via IAA</t>
  </si>
  <si>
    <t>FS Contractor funding support</t>
  </si>
  <si>
    <t>Add Smoke Positions project sheet provided by NPS</t>
  </si>
  <si>
    <t>FY 23 move $100K funding to Inform.  Adjust to CR Approved Funding level</t>
  </si>
  <si>
    <t>Contract support for CAD provided through FS contract for personnel.</t>
  </si>
  <si>
    <t>Update project sheets to reflect Fire Director/IFEC approved funding recommendations</t>
  </si>
  <si>
    <t>FY2024 Preparedness:Fuels Split for Jointly funded projects</t>
  </si>
  <si>
    <t>Remove Fuels Program Adjustment/Activity Support ($1M) set aside in Parent</t>
  </si>
  <si>
    <t>OWF - Preparedness ($128K); Parent - Preparedness $437K, Fuels $234K</t>
  </si>
  <si>
    <t>Update Parent carryover funding in Dept-wide allocation project sheets</t>
  </si>
  <si>
    <t>Workforce Capacity</t>
  </si>
  <si>
    <t>Adjust OHC Prep and Fuels Agreement amounts to reflect actual funding requirements</t>
  </si>
  <si>
    <t>Funding of one Prep Position with OHC. FY 2024 part funded from Prep, part funded from Fuels
POC: Stephen Elmore and Ryan Wilkins</t>
  </si>
  <si>
    <t>FY 2024 funding of one third Position with OHC  POC: Stephen Elmore and Ryan Wilkins</t>
  </si>
  <si>
    <t>Funding of Position with OHC
POC: Stephen Elmore and Ryan Wilkins</t>
  </si>
  <si>
    <t>Gov Agreement:  OHC Position Funding (Recruitment Specialist)</t>
  </si>
  <si>
    <t>Targets          FY 2024</t>
  </si>
  <si>
    <t>FY 2017 Connor memo allocation percent</t>
  </si>
  <si>
    <t>Fuels $167</t>
  </si>
  <si>
    <t>Prep $185</t>
  </si>
  <si>
    <t>Glaser, L.</t>
  </si>
  <si>
    <t>Stabb, D.</t>
  </si>
  <si>
    <t>Touchette, R.</t>
  </si>
  <si>
    <t>Increase for new IPTM course certification required travel, and positions moving from NPS to BLM funding.</t>
  </si>
  <si>
    <t>Positions moving from NPS to BLM funding</t>
  </si>
  <si>
    <t>Update IFTDSS FS contribution and project sheet prep/fuels splits.  Finalize OWF base budget information.  Update NWCG Staff Info.</t>
  </si>
  <si>
    <t>Workforce Transformation/Firefighter Compensation funded in DR Shifted Base</t>
  </si>
  <si>
    <t>Include Workforce Compensation funding in Direct Base Calculation originally included in DR Shifted Base.  Update Preparedness direct base percentages to adjusted base including Workforce Transformation/Firefighter Compensation</t>
  </si>
  <si>
    <t>IFEC project reduction</t>
  </si>
  <si>
    <t>Adjust LLC funding split between Prep and Fuels</t>
  </si>
  <si>
    <t>Reduced by Carryover</t>
  </si>
  <si>
    <t>One-time shared project funding support .  Additional funding need identified for FY 2024; original estimate is $220K however only $21K was able to be documented.  Remaining $179K held for future request, or carryover in FY 2025.</t>
  </si>
  <si>
    <t>Budget Leads: Gill Fay, NPS</t>
  </si>
  <si>
    <t>Project Lead: TBD, OWF</t>
  </si>
  <si>
    <t>Budget Lead:  Gill Fay, NPS</t>
  </si>
  <si>
    <t>Gov Agreement: U.S. Department of Commerce</t>
  </si>
  <si>
    <t>Agrmt - Algiere</t>
  </si>
  <si>
    <t>moved from Gividen labor line</t>
  </si>
  <si>
    <t>Reduced due to salary savings from NPS reimbursable agreement support</t>
  </si>
  <si>
    <t>Gov Labor:  NWCG Program Manager GS-14/4</t>
  </si>
  <si>
    <t>Gov Labor:  Deputy Program Manager GS-14/3</t>
  </si>
  <si>
    <t>Thomason, C.</t>
  </si>
  <si>
    <t>Schultz, D.</t>
  </si>
  <si>
    <t>vice-Noneman</t>
  </si>
  <si>
    <t>Coulter, E.</t>
  </si>
  <si>
    <t>Thibodee, W.</t>
  </si>
  <si>
    <t>Gov Labor:  Admin Assistant GS-8/4</t>
  </si>
  <si>
    <t>Gov Labor: Deputy Trng Program Mgr GS-12/4</t>
  </si>
  <si>
    <t>Gaskill, S.</t>
  </si>
  <si>
    <t>Gov Labor:  Supv Audio-Visual Specialist GS-12/4</t>
  </si>
  <si>
    <t>Jackson, T.</t>
  </si>
  <si>
    <t>Gov Labor:  Instructional Syst Spec GS-11/2</t>
  </si>
  <si>
    <t>Harrison, B.</t>
  </si>
  <si>
    <t>Gov Labor:  Training Spec GS-11/3</t>
  </si>
  <si>
    <t>Gov Labor:  Training Spec GS-11/2</t>
  </si>
  <si>
    <t>Holmes, B.</t>
  </si>
  <si>
    <t>Gov Labor:  Training Spec GS-9/5</t>
  </si>
  <si>
    <t>vice-Harrison</t>
  </si>
  <si>
    <t>Gov Labor:  AV Production Spec GS-11/2</t>
  </si>
  <si>
    <t>vice-Gaskill</t>
  </si>
  <si>
    <t>vice-Hambrick</t>
  </si>
  <si>
    <t>FS transfer required via IAA</t>
  </si>
  <si>
    <t>Partial Transfer</t>
  </si>
  <si>
    <t>Partial Allocation Transfer</t>
  </si>
  <si>
    <t>Remaining Allocation Transfer</t>
  </si>
  <si>
    <t>Additional Suppression Transfers</t>
  </si>
  <si>
    <t>Additional Suppression Transfer</t>
  </si>
  <si>
    <t>Check                                                                                                                 Enacted w/o 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</si>
</sst>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_(* #,##0.00_);_(* \(#,##0.00\);_(* \-??_);_(@_)"/>
    <numFmt numFmtId="169" formatCode="_(\$* #,##0.00_);_(\$* \(#,##0.00\);_(\$* \-??_);_(@_)"/>
    <numFmt numFmtId="170" formatCode="_(* #,##0.0_);_(* \(#,##0.0\);_(* &quot;-&quot;??_);_(@_)"/>
    <numFmt numFmtId="171" formatCode="0.000"/>
    <numFmt numFmtId="172" formatCode="_(&quot;$&quot;* #,##0.0_);_(&quot;$&quot;* \(#,##0.0\);_(&quot;$&quot;* &quot;-&quot;_);_(@_)"/>
    <numFmt numFmtId="173" formatCode="&quot;$&quot;#,##0.00"/>
  </numFmts>
  <fonts count="8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b/>
      <sz val="11"/>
      <name val="Arial"/>
      <family val="2"/>
    </font>
    <font>
      <sz val="11"/>
      <name val="Arial"/>
      <family val="2"/>
    </font>
    <font>
      <sz val="11"/>
      <name val="Calibri"/>
      <family val="2"/>
      <scheme val="minor"/>
    </font>
    <font>
      <b/>
      <i/>
      <sz val="11"/>
      <name val="Arial"/>
      <family val="2"/>
    </font>
    <font>
      <i/>
      <sz val="11"/>
      <color theme="1"/>
      <name val="Calibri"/>
      <family val="2"/>
      <scheme val="minor"/>
    </font>
    <font>
      <b/>
      <i/>
      <sz val="11"/>
      <color theme="1"/>
      <name val="Calibri"/>
      <family val="2"/>
      <scheme val="minor"/>
    </font>
    <font>
      <sz val="11"/>
      <color rgb="FFFF0000"/>
      <name val="Calibri"/>
      <family val="2"/>
      <scheme val="minor"/>
    </font>
    <font>
      <sz val="10"/>
      <color theme="1"/>
      <name val="Arial"/>
      <family val="2"/>
    </font>
    <font>
      <b/>
      <i/>
      <sz val="10"/>
      <color theme="1"/>
      <name val="Arial"/>
      <family val="2"/>
    </font>
    <font>
      <sz val="10"/>
      <name val="Arial"/>
      <family val="2"/>
    </font>
    <font>
      <b/>
      <i/>
      <sz val="10"/>
      <name val="Arial"/>
      <family val="2"/>
    </font>
    <font>
      <sz val="11"/>
      <color indexed="8"/>
      <name val="Calibri"/>
      <family val="2"/>
      <charset val="1"/>
    </font>
    <font>
      <sz val="10"/>
      <name val="Arial"/>
      <family val="2"/>
    </font>
    <font>
      <b/>
      <sz val="12"/>
      <color theme="1"/>
      <name val="Calibri"/>
      <family val="2"/>
      <scheme val="minor"/>
    </font>
    <font>
      <sz val="11"/>
      <color theme="1"/>
      <name val="Arial"/>
      <family val="2"/>
    </font>
    <font>
      <b/>
      <sz val="11"/>
      <color theme="1"/>
      <name val="Arial"/>
      <family val="2"/>
    </font>
    <font>
      <sz val="10"/>
      <color rgb="FF00B050"/>
      <name val="Arial"/>
      <family val="2"/>
    </font>
    <font>
      <b/>
      <sz val="9"/>
      <color indexed="81"/>
      <name val="Tahoma"/>
      <family val="2"/>
    </font>
    <font>
      <sz val="9"/>
      <color indexed="81"/>
      <name val="Tahoma"/>
      <family val="2"/>
    </font>
    <font>
      <i/>
      <sz val="11"/>
      <name val="Arial"/>
      <family val="2"/>
    </font>
    <font>
      <sz val="10"/>
      <color theme="1"/>
      <name val="Calibri"/>
      <family val="2"/>
      <scheme val="minor"/>
    </font>
    <font>
      <b/>
      <sz val="10"/>
      <color theme="1"/>
      <name val="Arial"/>
      <family val="2"/>
    </font>
    <font>
      <b/>
      <i/>
      <sz val="12"/>
      <name val="Arial"/>
      <family val="2"/>
    </font>
    <font>
      <b/>
      <sz val="10"/>
      <color rgb="FFFF0000"/>
      <name val="Arial"/>
      <family val="2"/>
    </font>
    <font>
      <b/>
      <sz val="11"/>
      <name val="Calibri"/>
      <family val="2"/>
      <scheme val="minor"/>
    </font>
    <font>
      <b/>
      <sz val="11"/>
      <color rgb="FFFF0000"/>
      <name val="Calibri"/>
      <family val="2"/>
      <scheme val="minor"/>
    </font>
    <font>
      <u/>
      <sz val="11"/>
      <color theme="1"/>
      <name val="Calibri"/>
      <family val="2"/>
      <scheme val="minor"/>
    </font>
    <font>
      <sz val="8"/>
      <color rgb="FF222222"/>
      <name val="Arial"/>
      <family val="2"/>
    </font>
    <font>
      <b/>
      <sz val="14"/>
      <name val="Tahoma"/>
      <family val="2"/>
    </font>
    <font>
      <sz val="12"/>
      <name val="Tahoma"/>
      <family val="2"/>
    </font>
    <font>
      <b/>
      <sz val="12"/>
      <name val="Tahoma"/>
      <family val="2"/>
    </font>
    <font>
      <b/>
      <sz val="13"/>
      <name val="Tahoma"/>
      <family val="2"/>
    </font>
    <font>
      <sz val="10"/>
      <color rgb="FF0070C0"/>
      <name val="Arial"/>
      <family val="2"/>
    </font>
    <font>
      <sz val="11"/>
      <color rgb="FF0070C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0"/>
      <name val="Humnst777 BT"/>
    </font>
    <font>
      <sz val="12"/>
      <name val="Arial"/>
      <family val="2"/>
    </font>
    <font>
      <sz val="11"/>
      <color indexed="8"/>
      <name val="Calibri"/>
      <family val="2"/>
    </font>
    <font>
      <sz val="8"/>
      <name val="MS Sans Serif"/>
      <family val="2"/>
    </font>
    <font>
      <sz val="9"/>
      <color theme="1"/>
      <name val="Calibri"/>
      <family val="2"/>
      <scheme val="minor"/>
    </font>
    <font>
      <sz val="10"/>
      <color rgb="FF000000"/>
      <name val="Arial"/>
      <family val="2"/>
    </font>
    <font>
      <sz val="11"/>
      <name val="Calibri"/>
      <family val="2"/>
    </font>
    <font>
      <u val="doubleAccounting"/>
      <sz val="11"/>
      <color theme="1"/>
      <name val="Calibri"/>
      <family val="2"/>
      <scheme val="minor"/>
    </font>
    <font>
      <u val="singleAccounting"/>
      <sz val="11"/>
      <color theme="1"/>
      <name val="Calibri"/>
      <family val="2"/>
      <scheme val="minor"/>
    </font>
    <font>
      <sz val="11"/>
      <color rgb="FF000000"/>
      <name val="Calibri"/>
      <family val="2"/>
    </font>
    <font>
      <sz val="10"/>
      <color rgb="FFFF0000"/>
      <name val="Arial"/>
      <family val="2"/>
    </font>
    <font>
      <sz val="11"/>
      <color rgb="FFFF0000"/>
      <name val="Calibri"/>
      <family val="2"/>
    </font>
    <font>
      <sz val="11"/>
      <color rgb="FF000000"/>
      <name val="Calibri"/>
      <family val="2"/>
    </font>
    <font>
      <b/>
      <sz val="12"/>
      <color theme="1"/>
      <name val="Arial"/>
      <family val="2"/>
    </font>
    <font>
      <sz val="9"/>
      <color theme="1"/>
      <name val="Arial"/>
      <family val="2"/>
    </font>
    <font>
      <sz val="8"/>
      <color theme="1"/>
      <name val="Arial"/>
      <family val="2"/>
    </font>
    <font>
      <i/>
      <sz val="10"/>
      <color theme="1"/>
      <name val="Arial"/>
      <family val="2"/>
    </font>
    <font>
      <i/>
      <sz val="9"/>
      <color theme="1"/>
      <name val="Arial"/>
      <family val="2"/>
    </font>
    <font>
      <b/>
      <sz val="9"/>
      <color theme="1"/>
      <name val="Arial"/>
      <family val="2"/>
    </font>
    <font>
      <i/>
      <sz val="8"/>
      <color theme="1"/>
      <name val="Arial"/>
      <family val="2"/>
    </font>
    <font>
      <b/>
      <sz val="12"/>
      <color rgb="FF000000"/>
      <name val="Arial"/>
      <family val="2"/>
    </font>
    <font>
      <b/>
      <sz val="10"/>
      <color rgb="FF000000"/>
      <name val="Arial"/>
      <family val="2"/>
    </font>
    <font>
      <sz val="9"/>
      <color rgb="FF000000"/>
      <name val="Arial"/>
      <family val="2"/>
    </font>
    <font>
      <i/>
      <sz val="10"/>
      <color rgb="FF000000"/>
      <name val="Arial"/>
      <family val="2"/>
    </font>
    <font>
      <b/>
      <i/>
      <sz val="10"/>
      <color rgb="FF000000"/>
      <name val="Arial"/>
      <family val="2"/>
    </font>
    <font>
      <i/>
      <sz val="9"/>
      <color rgb="FF000000"/>
      <name val="Arial"/>
      <family val="2"/>
    </font>
    <font>
      <b/>
      <i/>
      <sz val="14"/>
      <color theme="1"/>
      <name val="Arial"/>
      <family val="2"/>
    </font>
    <font>
      <b/>
      <sz val="12"/>
      <name val="Calibri"/>
      <family val="2"/>
      <scheme val="minor"/>
    </font>
    <font>
      <sz val="11"/>
      <name val="Arial"/>
      <family val="2"/>
    </font>
    <font>
      <sz val="11"/>
      <color rgb="FF000000"/>
      <name val="Calibri"/>
      <family val="2"/>
      <scheme val="minor"/>
    </font>
    <font>
      <sz val="10"/>
      <color rgb="FF008000"/>
      <name val="Arial"/>
      <family val="2"/>
    </font>
    <font>
      <b/>
      <sz val="11"/>
      <color rgb="FFFF0000"/>
      <name val="Calibri"/>
      <family val="2"/>
    </font>
    <font>
      <sz val="11"/>
      <color theme="1"/>
      <name val="Times New Roman"/>
      <family val="1"/>
    </font>
    <font>
      <b/>
      <sz val="11"/>
      <color rgb="FF000000"/>
      <name val="Calibri"/>
      <family val="2"/>
    </font>
  </fonts>
  <fills count="7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indexed="4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548DD4"/>
        <bgColor rgb="FF548DD4"/>
      </patternFill>
    </fill>
    <fill>
      <patternFill patternType="solid">
        <fgColor rgb="FF8DB3E2"/>
        <bgColor rgb="FF8DB3E2"/>
      </patternFill>
    </fill>
    <fill>
      <patternFill patternType="solid">
        <fgColor rgb="FFC0C0C0"/>
        <bgColor rgb="FFC0C0C0"/>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B4C6E7"/>
        <bgColor rgb="FF000000"/>
      </patternFill>
    </fill>
    <fill>
      <patternFill patternType="solid">
        <fgColor rgb="FFA2DEB0"/>
        <bgColor indexed="64"/>
      </patternFill>
    </fill>
    <fill>
      <patternFill patternType="solid">
        <fgColor theme="9" tint="0.79998168889431442"/>
        <bgColor indexed="64"/>
      </patternFill>
    </fill>
    <fill>
      <patternFill patternType="solid">
        <fgColor rgb="FFB7DEE8"/>
        <bgColor rgb="FF000000"/>
      </patternFill>
    </fill>
    <fill>
      <patternFill patternType="solid">
        <fgColor rgb="FF00FF00"/>
        <bgColor rgb="FF000000"/>
      </patternFill>
    </fill>
    <fill>
      <patternFill patternType="solid">
        <fgColor rgb="FF00FF00"/>
        <bgColor indexed="64"/>
      </patternFill>
    </fill>
    <fill>
      <patternFill patternType="solid">
        <fgColor theme="9"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indexed="64"/>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rgb="FF000000"/>
      </top>
      <bottom style="thin">
        <color indexed="64"/>
      </bottom>
      <diagonal/>
    </border>
  </borders>
  <cellStyleXfs count="1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7" fillId="0" borderId="0"/>
    <xf numFmtId="4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40" fillId="0" borderId="31" applyNumberFormat="0" applyFill="0" applyAlignment="0" applyProtection="0"/>
    <xf numFmtId="0" fontId="41" fillId="0" borderId="32" applyNumberFormat="0" applyFill="0" applyAlignment="0" applyProtection="0"/>
    <xf numFmtId="0" fontId="42" fillId="0" borderId="33" applyNumberFormat="0" applyFill="0" applyAlignment="0" applyProtection="0"/>
    <xf numFmtId="0" fontId="42" fillId="0" borderId="0" applyNumberFormat="0" applyFill="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0" applyNumberFormat="0" applyBorder="0" applyAlignment="0" applyProtection="0"/>
    <xf numFmtId="0" fontId="46" fillId="23" borderId="34" applyNumberFormat="0" applyAlignment="0" applyProtection="0"/>
    <xf numFmtId="0" fontId="47" fillId="24" borderId="35" applyNumberFormat="0" applyAlignment="0" applyProtection="0"/>
    <xf numFmtId="0" fontId="48" fillId="24" borderId="34" applyNumberFormat="0" applyAlignment="0" applyProtection="0"/>
    <xf numFmtId="0" fontId="49" fillId="0" borderId="36" applyNumberFormat="0" applyFill="0" applyAlignment="0" applyProtection="0"/>
    <xf numFmtId="0" fontId="50" fillId="25" borderId="37" applyNumberFormat="0" applyAlignment="0" applyProtection="0"/>
    <xf numFmtId="0" fontId="11" fillId="0" borderId="0" applyNumberFormat="0" applyFill="0" applyBorder="0" applyAlignment="0" applyProtection="0"/>
    <xf numFmtId="0" fontId="51" fillId="0" borderId="0" applyNumberFormat="0" applyFill="0" applyBorder="0" applyAlignment="0" applyProtection="0"/>
    <xf numFmtId="0" fontId="2" fillId="0" borderId="39" applyNumberFormat="0" applyFill="0" applyAlignment="0" applyProtection="0"/>
    <xf numFmtId="0" fontId="5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2" fillId="50" borderId="0" applyNumberFormat="0" applyBorder="0" applyAlignment="0" applyProtection="0"/>
    <xf numFmtId="0" fontId="53" fillId="0" borderId="0" applyNumberFormat="0" applyFill="0" applyBorder="0" applyAlignment="0" applyProtection="0"/>
    <xf numFmtId="0" fontId="54" fillId="0" borderId="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168" fontId="56" fillId="0" borderId="0"/>
    <xf numFmtId="169" fontId="56" fillId="0" borderId="0"/>
    <xf numFmtId="0" fontId="56"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3" fontId="54" fillId="0" borderId="0"/>
    <xf numFmtId="0" fontId="57" fillId="0" borderId="0"/>
    <xf numFmtId="0" fontId="14" fillId="0" borderId="0"/>
    <xf numFmtId="0" fontId="14" fillId="0" borderId="0"/>
    <xf numFmtId="0" fontId="14" fillId="0" borderId="0"/>
    <xf numFmtId="0" fontId="57" fillId="0" borderId="0"/>
    <xf numFmtId="0" fontId="57" fillId="0" borderId="0"/>
    <xf numFmtId="0" fontId="14" fillId="0" borderId="0"/>
    <xf numFmtId="0" fontId="14" fillId="0" borderId="0"/>
    <xf numFmtId="0" fontId="57"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43" fontId="54" fillId="0" borderId="0" applyFont="0" applyFill="0" applyBorder="0" applyAlignment="0" applyProtection="0"/>
    <xf numFmtId="0" fontId="59" fillId="0" borderId="0"/>
    <xf numFmtId="0" fontId="66" fillId="0" borderId="0"/>
  </cellStyleXfs>
  <cellXfs count="1082">
    <xf numFmtId="0" fontId="0" fillId="0" borderId="0" xfId="0"/>
    <xf numFmtId="0" fontId="4" fillId="0" borderId="1" xfId="0" applyFont="1" applyBorder="1" applyAlignment="1">
      <alignment horizontal="center"/>
    </xf>
    <xf numFmtId="0" fontId="4" fillId="0" borderId="1" xfId="0" applyFont="1" applyBorder="1" applyAlignment="1">
      <alignment horizontal="center" wrapText="1"/>
    </xf>
    <xf numFmtId="0" fontId="5" fillId="0" borderId="1" xfId="0" applyFont="1" applyBorder="1" applyAlignment="1">
      <alignment horizontal="right"/>
    </xf>
    <xf numFmtId="0" fontId="5" fillId="2" borderId="1" xfId="0" applyFont="1" applyFill="1" applyBorder="1"/>
    <xf numFmtId="10" fontId="6" fillId="3" borderId="1" xfId="2" applyNumberFormat="1" applyFont="1" applyFill="1" applyBorder="1" applyAlignment="1">
      <alignment horizontal="right"/>
    </xf>
    <xf numFmtId="10" fontId="6" fillId="2" borderId="1" xfId="2" applyNumberFormat="1" applyFont="1" applyFill="1" applyBorder="1" applyAlignment="1">
      <alignment horizontal="right"/>
    </xf>
    <xf numFmtId="0" fontId="0" fillId="0" borderId="0" xfId="0" applyFont="1"/>
    <xf numFmtId="0" fontId="6" fillId="0" borderId="7" xfId="0" applyFont="1" applyBorder="1"/>
    <xf numFmtId="164" fontId="6" fillId="0" borderId="0" xfId="0" applyNumberFormat="1" applyFont="1" applyBorder="1" applyAlignment="1">
      <alignment horizontal="right"/>
    </xf>
    <xf numFmtId="0" fontId="6" fillId="0" borderId="0" xfId="0" applyFont="1" applyBorder="1"/>
    <xf numFmtId="0" fontId="6" fillId="0" borderId="8" xfId="0" applyFont="1" applyBorder="1"/>
    <xf numFmtId="164" fontId="6" fillId="0" borderId="10" xfId="0" applyNumberFormat="1" applyFont="1" applyBorder="1" applyAlignment="1">
      <alignment horizontal="right"/>
    </xf>
    <xf numFmtId="164" fontId="0" fillId="0" borderId="0" xfId="0" applyNumberFormat="1" applyFont="1" applyAlignment="1">
      <alignment horizontal="right"/>
    </xf>
    <xf numFmtId="0" fontId="0" fillId="0" borderId="0" xfId="0" applyFont="1" applyBorder="1"/>
    <xf numFmtId="10" fontId="7" fillId="2" borderId="1" xfId="2" applyNumberFormat="1" applyFont="1" applyFill="1" applyBorder="1" applyAlignment="1">
      <alignment horizontal="right"/>
    </xf>
    <xf numFmtId="165" fontId="0" fillId="0" borderId="12" xfId="1" applyNumberFormat="1" applyFont="1" applyBorder="1"/>
    <xf numFmtId="165" fontId="2" fillId="0" borderId="1" xfId="1" applyNumberFormat="1" applyFont="1" applyBorder="1"/>
    <xf numFmtId="165" fontId="9" fillId="0" borderId="0" xfId="0" applyNumberFormat="1" applyFont="1"/>
    <xf numFmtId="165" fontId="0" fillId="4" borderId="0" xfId="1" applyNumberFormat="1" applyFont="1" applyFill="1"/>
    <xf numFmtId="0" fontId="3" fillId="4" borderId="1" xfId="0" applyFont="1" applyFill="1" applyBorder="1" applyAlignment="1">
      <alignment horizontal="center" wrapText="1"/>
    </xf>
    <xf numFmtId="164" fontId="8" fillId="4" borderId="1" xfId="0" applyNumberFormat="1"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8" fillId="4" borderId="16" xfId="0" applyNumberFormat="1"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5" fillId="4" borderId="2" xfId="0" applyFont="1" applyFill="1" applyBorder="1"/>
    <xf numFmtId="164" fontId="3" fillId="4" borderId="2" xfId="0" applyNumberFormat="1" applyFont="1" applyFill="1" applyBorder="1" applyAlignment="1">
      <alignment horizontal="center" vertical="center" wrapText="1"/>
    </xf>
    <xf numFmtId="165" fontId="0" fillId="4" borderId="0" xfId="1" applyNumberFormat="1" applyFont="1" applyFill="1" applyBorder="1"/>
    <xf numFmtId="0" fontId="5" fillId="0" borderId="1" xfId="0" applyFont="1" applyBorder="1" applyAlignment="1">
      <alignment horizontal="left" indent="1"/>
    </xf>
    <xf numFmtId="0" fontId="0" fillId="0" borderId="0" xfId="0" applyFill="1"/>
    <xf numFmtId="0" fontId="0" fillId="0" borderId="0" xfId="0" applyAlignment="1">
      <alignment horizontal="center"/>
    </xf>
    <xf numFmtId="0" fontId="12" fillId="0" borderId="0" xfId="0" applyFont="1"/>
    <xf numFmtId="0" fontId="12" fillId="0" borderId="0" xfId="0" applyFont="1" applyAlignment="1">
      <alignment horizontal="center"/>
    </xf>
    <xf numFmtId="0" fontId="4" fillId="0" borderId="1" xfId="0" applyFont="1" applyBorder="1"/>
    <xf numFmtId="0" fontId="4" fillId="6" borderId="1" xfId="0" applyFont="1" applyFill="1" applyBorder="1" applyAlignment="1">
      <alignment horizontal="center" wrapText="1"/>
    </xf>
    <xf numFmtId="0" fontId="2" fillId="0" borderId="1" xfId="0" applyFont="1" applyBorder="1" applyAlignment="1">
      <alignment horizontal="center" wrapText="1"/>
    </xf>
    <xf numFmtId="0" fontId="12" fillId="0" borderId="1" xfId="0" applyFont="1" applyFill="1" applyBorder="1"/>
    <xf numFmtId="0" fontId="12" fillId="0" borderId="1" xfId="0" applyFont="1" applyFill="1" applyBorder="1" applyAlignment="1">
      <alignment horizontal="center"/>
    </xf>
    <xf numFmtId="43" fontId="12" fillId="0" borderId="1" xfId="1" applyFont="1" applyFill="1" applyBorder="1"/>
    <xf numFmtId="43" fontId="12" fillId="0" borderId="1" xfId="1" applyFont="1" applyFill="1" applyBorder="1" applyAlignment="1">
      <alignment horizontal="center"/>
    </xf>
    <xf numFmtId="0" fontId="15" fillId="0" borderId="12" xfId="0" applyFont="1" applyFill="1" applyBorder="1" applyAlignment="1">
      <alignment horizontal="right"/>
    </xf>
    <xf numFmtId="43" fontId="4" fillId="0" borderId="12" xfId="1" applyFont="1" applyFill="1" applyBorder="1"/>
    <xf numFmtId="165" fontId="4" fillId="6" borderId="12" xfId="1" applyNumberFormat="1" applyFont="1" applyFill="1" applyBorder="1"/>
    <xf numFmtId="165" fontId="4" fillId="0" borderId="12" xfId="1" applyNumberFormat="1" applyFont="1" applyFill="1" applyBorder="1"/>
    <xf numFmtId="0" fontId="14" fillId="0" borderId="1" xfId="0" applyFont="1" applyFill="1" applyBorder="1" applyAlignment="1">
      <alignment horizontal="center"/>
    </xf>
    <xf numFmtId="43" fontId="14" fillId="0" borderId="1" xfId="1" applyFont="1" applyFill="1" applyBorder="1"/>
    <xf numFmtId="0" fontId="4" fillId="0" borderId="9" xfId="0" applyFont="1" applyFill="1" applyBorder="1"/>
    <xf numFmtId="0" fontId="4" fillId="0" borderId="9" xfId="0" applyFont="1" applyFill="1" applyBorder="1" applyAlignment="1">
      <alignment horizontal="center"/>
    </xf>
    <xf numFmtId="43" fontId="2" fillId="0" borderId="1" xfId="1" applyFont="1" applyBorder="1"/>
    <xf numFmtId="0" fontId="0" fillId="0" borderId="0" xfId="0" applyAlignment="1">
      <alignment wrapText="1"/>
    </xf>
    <xf numFmtId="0" fontId="14" fillId="0" borderId="15" xfId="0" applyFont="1" applyFill="1" applyBorder="1"/>
    <xf numFmtId="0" fontId="14" fillId="0" borderId="9" xfId="0" applyFont="1" applyFill="1" applyBorder="1"/>
    <xf numFmtId="165" fontId="2" fillId="0" borderId="1" xfId="1" applyNumberFormat="1" applyFont="1" applyBorder="1" applyAlignment="1">
      <alignment wrapText="1"/>
    </xf>
    <xf numFmtId="0" fontId="0" fillId="5" borderId="0" xfId="0" applyFill="1"/>
    <xf numFmtId="0" fontId="10" fillId="5" borderId="0" xfId="0" applyFont="1" applyFill="1" applyAlignment="1">
      <alignment horizontal="right"/>
    </xf>
    <xf numFmtId="165" fontId="2" fillId="5" borderId="0" xfId="0" applyNumberFormat="1" applyFont="1" applyFill="1"/>
    <xf numFmtId="0" fontId="4" fillId="0" borderId="0" xfId="0" applyFont="1"/>
    <xf numFmtId="0" fontId="12" fillId="0" borderId="1" xfId="0" applyFont="1" applyBorder="1"/>
    <xf numFmtId="42" fontId="12" fillId="9" borderId="1" xfId="0" applyNumberFormat="1" applyFont="1" applyFill="1" applyBorder="1"/>
    <xf numFmtId="42" fontId="12" fillId="10" borderId="1" xfId="0" applyNumberFormat="1" applyFont="1" applyFill="1" applyBorder="1"/>
    <xf numFmtId="0" fontId="4" fillId="0" borderId="1" xfId="0" applyFont="1" applyBorder="1" applyAlignment="1">
      <alignment horizontal="right"/>
    </xf>
    <xf numFmtId="42" fontId="4" fillId="0" borderId="1" xfId="0" applyNumberFormat="1" applyFont="1" applyBorder="1"/>
    <xf numFmtId="0" fontId="17" fillId="0" borderId="0" xfId="5"/>
    <xf numFmtId="14" fontId="17" fillId="0" borderId="0" xfId="5" applyNumberFormat="1"/>
    <xf numFmtId="0" fontId="14" fillId="0" borderId="0" xfId="5" applyFont="1"/>
    <xf numFmtId="0" fontId="11" fillId="0" borderId="0" xfId="0" applyFont="1" applyFill="1"/>
    <xf numFmtId="0" fontId="0" fillId="0" borderId="0" xfId="0" applyFill="1" applyAlignment="1">
      <alignment horizontal="center"/>
    </xf>
    <xf numFmtId="0" fontId="13" fillId="11" borderId="1" xfId="0" applyFont="1" applyFill="1" applyBorder="1"/>
    <xf numFmtId="0" fontId="12" fillId="11" borderId="1" xfId="0" applyFont="1" applyFill="1" applyBorder="1"/>
    <xf numFmtId="0" fontId="12" fillId="11" borderId="1" xfId="0" applyFont="1" applyFill="1" applyBorder="1" applyAlignment="1">
      <alignment horizontal="center"/>
    </xf>
    <xf numFmtId="0" fontId="0" fillId="11" borderId="1" xfId="0" applyFill="1" applyBorder="1"/>
    <xf numFmtId="0" fontId="14" fillId="0" borderId="1" xfId="0" applyFont="1" applyFill="1" applyBorder="1" applyAlignment="1">
      <alignment wrapText="1"/>
    </xf>
    <xf numFmtId="0" fontId="19" fillId="0" borderId="1" xfId="0" applyFont="1" applyBorder="1"/>
    <xf numFmtId="43" fontId="20" fillId="0" borderId="1" xfId="1" applyFont="1" applyBorder="1"/>
    <xf numFmtId="165" fontId="20" fillId="0" borderId="1" xfId="1" applyNumberFormat="1" applyFont="1" applyBorder="1"/>
    <xf numFmtId="0" fontId="20" fillId="0" borderId="1" xfId="0" applyFont="1" applyBorder="1"/>
    <xf numFmtId="165" fontId="2" fillId="6" borderId="15" xfId="1" applyNumberFormat="1" applyFont="1" applyFill="1" applyBorder="1"/>
    <xf numFmtId="165" fontId="2" fillId="0" borderId="15" xfId="1" applyNumberFormat="1" applyFont="1" applyFill="1" applyBorder="1"/>
    <xf numFmtId="165" fontId="2" fillId="7" borderId="15" xfId="1" applyNumberFormat="1" applyFont="1" applyFill="1" applyBorder="1"/>
    <xf numFmtId="165" fontId="2" fillId="8" borderId="15" xfId="1" applyNumberFormat="1" applyFont="1" applyFill="1" applyBorder="1"/>
    <xf numFmtId="0" fontId="2" fillId="0" borderId="15" xfId="0" applyFont="1" applyBorder="1"/>
    <xf numFmtId="165" fontId="0" fillId="6" borderId="17" xfId="1" applyNumberFormat="1" applyFont="1" applyFill="1" applyBorder="1"/>
    <xf numFmtId="165" fontId="0" fillId="0" borderId="17" xfId="1" applyNumberFormat="1" applyFont="1" applyFill="1" applyBorder="1"/>
    <xf numFmtId="165" fontId="0" fillId="7" borderId="17" xfId="1" applyNumberFormat="1" applyFont="1" applyFill="1" applyBorder="1"/>
    <xf numFmtId="165" fontId="0" fillId="8" borderId="17" xfId="1" applyNumberFormat="1" applyFont="1" applyFill="1" applyBorder="1"/>
    <xf numFmtId="0" fontId="0" fillId="0" borderId="17" xfId="0" applyBorder="1"/>
    <xf numFmtId="165" fontId="0" fillId="12" borderId="1" xfId="1" applyNumberFormat="1" applyFont="1" applyFill="1" applyBorder="1"/>
    <xf numFmtId="0" fontId="0" fillId="12" borderId="1" xfId="0" applyFill="1" applyBorder="1"/>
    <xf numFmtId="10" fontId="0" fillId="12" borderId="1" xfId="3" applyNumberFormat="1" applyFont="1" applyFill="1" applyBorder="1"/>
    <xf numFmtId="165" fontId="0" fillId="12" borderId="1" xfId="1" applyNumberFormat="1" applyFont="1" applyFill="1" applyBorder="1" applyAlignment="1">
      <alignment wrapText="1"/>
    </xf>
    <xf numFmtId="0" fontId="4" fillId="0" borderId="1" xfId="0" applyFont="1" applyFill="1" applyBorder="1"/>
    <xf numFmtId="0" fontId="0" fillId="0" borderId="1" xfId="0" applyFill="1" applyBorder="1" applyAlignment="1">
      <alignment vertical="top" wrapText="1"/>
    </xf>
    <xf numFmtId="0" fontId="11" fillId="0" borderId="1" xfId="0" applyFont="1" applyFill="1" applyBorder="1"/>
    <xf numFmtId="0" fontId="21" fillId="0" borderId="1" xfId="0" applyFont="1" applyFill="1" applyBorder="1"/>
    <xf numFmtId="0" fontId="14" fillId="0" borderId="1" xfId="0" applyFont="1" applyFill="1" applyBorder="1" applyAlignment="1">
      <alignment vertical="center"/>
    </xf>
    <xf numFmtId="0" fontId="12" fillId="0" borderId="1" xfId="0" applyFont="1" applyFill="1" applyBorder="1" applyAlignment="1">
      <alignment vertical="center"/>
    </xf>
    <xf numFmtId="0" fontId="14" fillId="0" borderId="1" xfId="0" applyFont="1" applyFill="1" applyBorder="1" applyAlignment="1">
      <alignment horizontal="center" vertical="center"/>
    </xf>
    <xf numFmtId="43" fontId="14" fillId="0" borderId="1" xfId="1" applyFont="1" applyFill="1" applyBorder="1" applyAlignment="1">
      <alignment vertical="center"/>
    </xf>
    <xf numFmtId="0" fontId="0" fillId="0" borderId="1" xfId="0" applyBorder="1" applyAlignment="1">
      <alignment vertical="top" wrapText="1"/>
    </xf>
    <xf numFmtId="165" fontId="4" fillId="0" borderId="12" xfId="1" applyNumberFormat="1" applyFont="1" applyFill="1" applyBorder="1" applyAlignment="1">
      <alignment vertical="center"/>
    </xf>
    <xf numFmtId="0" fontId="15" fillId="0" borderId="12" xfId="0" applyFont="1" applyFill="1" applyBorder="1" applyAlignment="1">
      <alignment horizontal="right" vertical="center"/>
    </xf>
    <xf numFmtId="0" fontId="14" fillId="0" borderId="12" xfId="0" applyFont="1" applyFill="1" applyBorder="1" applyAlignment="1">
      <alignment vertical="center"/>
    </xf>
    <xf numFmtId="0" fontId="14" fillId="0" borderId="12" xfId="0" applyFont="1" applyFill="1" applyBorder="1" applyAlignment="1">
      <alignment horizontal="center" vertical="center"/>
    </xf>
    <xf numFmtId="43" fontId="14" fillId="0" borderId="12" xfId="1" applyFont="1" applyFill="1" applyBorder="1" applyAlignment="1">
      <alignment vertical="center"/>
    </xf>
    <xf numFmtId="165" fontId="4" fillId="6" borderId="12" xfId="1" applyNumberFormat="1" applyFont="1" applyFill="1" applyBorder="1" applyAlignment="1">
      <alignment vertical="center"/>
    </xf>
    <xf numFmtId="0" fontId="4" fillId="0" borderId="14" xfId="0" applyFont="1" applyBorder="1" applyAlignment="1">
      <alignment horizontal="center"/>
    </xf>
    <xf numFmtId="0" fontId="4" fillId="0" borderId="13" xfId="0" applyFont="1" applyBorder="1" applyAlignment="1">
      <alignment horizontal="center" wrapText="1"/>
    </xf>
    <xf numFmtId="165" fontId="0" fillId="0" borderId="21" xfId="1" applyNumberFormat="1" applyFont="1" applyBorder="1"/>
    <xf numFmtId="165" fontId="2" fillId="0" borderId="21" xfId="1" applyNumberFormat="1" applyFont="1" applyBorder="1"/>
    <xf numFmtId="165" fontId="0" fillId="4" borderId="21" xfId="1" applyNumberFormat="1" applyFont="1" applyFill="1" applyBorder="1"/>
    <xf numFmtId="0" fontId="4" fillId="13" borderId="1" xfId="0" applyFont="1" applyFill="1" applyBorder="1" applyAlignment="1">
      <alignment horizontal="center" wrapText="1"/>
    </xf>
    <xf numFmtId="0" fontId="4" fillId="4" borderId="1" xfId="0" applyFont="1" applyFill="1" applyBorder="1" applyAlignment="1">
      <alignment horizontal="center"/>
    </xf>
    <xf numFmtId="0" fontId="4" fillId="14" borderId="1" xfId="0" applyFont="1" applyFill="1" applyBorder="1" applyAlignment="1">
      <alignment horizontal="center" wrapText="1"/>
    </xf>
    <xf numFmtId="0" fontId="0" fillId="0" borderId="5" xfId="0" applyBorder="1"/>
    <xf numFmtId="165" fontId="0" fillId="0" borderId="5" xfId="1" applyNumberFormat="1" applyFont="1" applyBorder="1"/>
    <xf numFmtId="165" fontId="0" fillId="0" borderId="20" xfId="1" applyNumberFormat="1" applyFont="1" applyBorder="1"/>
    <xf numFmtId="0" fontId="0" fillId="0" borderId="9" xfId="0" applyFill="1" applyBorder="1" applyAlignment="1">
      <alignment horizontal="left" indent="5"/>
    </xf>
    <xf numFmtId="0" fontId="0" fillId="0" borderId="10" xfId="0" applyBorder="1"/>
    <xf numFmtId="165" fontId="0" fillId="0" borderId="10" xfId="1" applyNumberFormat="1" applyFont="1" applyBorder="1"/>
    <xf numFmtId="165" fontId="0" fillId="0" borderId="22" xfId="1" applyNumberFormat="1" applyFont="1" applyBorder="1"/>
    <xf numFmtId="0" fontId="0" fillId="0" borderId="7" xfId="0" applyFill="1" applyBorder="1" applyAlignment="1">
      <alignment horizontal="left" indent="5"/>
    </xf>
    <xf numFmtId="0" fontId="0" fillId="0" borderId="0" xfId="0" applyBorder="1"/>
    <xf numFmtId="165" fontId="0" fillId="0" borderId="0" xfId="1" applyNumberFormat="1" applyFont="1" applyBorder="1"/>
    <xf numFmtId="165" fontId="2" fillId="0" borderId="10" xfId="1" applyNumberFormat="1" applyFont="1" applyBorder="1"/>
    <xf numFmtId="165" fontId="2" fillId="0" borderId="0" xfId="1" applyNumberFormat="1" applyFont="1" applyBorder="1"/>
    <xf numFmtId="0" fontId="13" fillId="12" borderId="1" xfId="0" applyFont="1" applyFill="1" applyBorder="1"/>
    <xf numFmtId="0" fontId="12" fillId="12" borderId="1" xfId="0" applyFont="1" applyFill="1" applyBorder="1"/>
    <xf numFmtId="0" fontId="12" fillId="12" borderId="1" xfId="0" applyFont="1" applyFill="1" applyBorder="1" applyAlignment="1">
      <alignment horizontal="center"/>
    </xf>
    <xf numFmtId="0" fontId="0" fillId="12" borderId="1" xfId="0" applyFill="1" applyBorder="1" applyAlignment="1">
      <alignment wrapText="1"/>
    </xf>
    <xf numFmtId="0" fontId="4" fillId="15" borderId="1" xfId="0" applyFont="1" applyFill="1" applyBorder="1" applyAlignment="1">
      <alignment horizontal="center"/>
    </xf>
    <xf numFmtId="0" fontId="0" fillId="0" borderId="9" xfId="0" applyFont="1" applyBorder="1"/>
    <xf numFmtId="0" fontId="0" fillId="0" borderId="11" xfId="0" applyFont="1" applyBorder="1"/>
    <xf numFmtId="0" fontId="0" fillId="0" borderId="7" xfId="0" applyFont="1" applyBorder="1"/>
    <xf numFmtId="0" fontId="0" fillId="0" borderId="8" xfId="0" applyFont="1" applyBorder="1"/>
    <xf numFmtId="165" fontId="2" fillId="0" borderId="6" xfId="1" applyNumberFormat="1" applyFont="1" applyBorder="1"/>
    <xf numFmtId="165" fontId="2" fillId="0" borderId="11" xfId="1" applyNumberFormat="1" applyFont="1" applyBorder="1"/>
    <xf numFmtId="165" fontId="2" fillId="0" borderId="8" xfId="1" applyNumberFormat="1" applyFont="1" applyBorder="1"/>
    <xf numFmtId="0" fontId="10" fillId="0" borderId="7" xfId="0" applyFont="1" applyBorder="1" applyAlignment="1">
      <alignment horizontal="right"/>
    </xf>
    <xf numFmtId="0" fontId="10" fillId="0" borderId="9" xfId="0" applyFont="1" applyBorder="1" applyAlignment="1">
      <alignment horizontal="right"/>
    </xf>
    <xf numFmtId="165" fontId="2" fillId="0" borderId="22" xfId="1" applyNumberFormat="1" applyFont="1" applyBorder="1"/>
    <xf numFmtId="0" fontId="0" fillId="0" borderId="7" xfId="0" applyFill="1" applyBorder="1"/>
    <xf numFmtId="165" fontId="0" fillId="0" borderId="15" xfId="1" applyNumberFormat="1" applyFont="1" applyBorder="1"/>
    <xf numFmtId="0" fontId="5" fillId="0" borderId="15" xfId="0" applyFont="1" applyBorder="1" applyAlignment="1">
      <alignment horizontal="right"/>
    </xf>
    <xf numFmtId="0" fontId="5" fillId="12" borderId="15" xfId="0" applyFont="1" applyFill="1" applyBorder="1" applyAlignment="1">
      <alignment horizontal="right"/>
    </xf>
    <xf numFmtId="165" fontId="0" fillId="12" borderId="15" xfId="1" applyNumberFormat="1" applyFont="1" applyFill="1" applyBorder="1"/>
    <xf numFmtId="165" fontId="2" fillId="12" borderId="15" xfId="1" applyNumberFormat="1" applyFont="1" applyFill="1" applyBorder="1"/>
    <xf numFmtId="165" fontId="2" fillId="12" borderId="3" xfId="1" applyNumberFormat="1" applyFont="1" applyFill="1" applyBorder="1"/>
    <xf numFmtId="0" fontId="14" fillId="0" borderId="9" xfId="0" applyFont="1" applyFill="1" applyBorder="1" applyAlignment="1">
      <alignment horizontal="center"/>
    </xf>
    <xf numFmtId="0" fontId="14" fillId="0" borderId="7" xfId="0" applyFont="1" applyFill="1" applyBorder="1"/>
    <xf numFmtId="0" fontId="0" fillId="0" borderId="0" xfId="0"/>
    <xf numFmtId="0" fontId="0" fillId="0" borderId="0" xfId="0" applyAlignment="1">
      <alignment horizontal="center"/>
    </xf>
    <xf numFmtId="0" fontId="24" fillId="0" borderId="15" xfId="0" applyFont="1" applyFill="1" applyBorder="1" applyAlignment="1">
      <alignment horizontal="right"/>
    </xf>
    <xf numFmtId="165" fontId="0" fillId="0" borderId="15" xfId="1" applyNumberFormat="1" applyFont="1" applyFill="1" applyBorder="1"/>
    <xf numFmtId="165" fontId="2" fillId="0" borderId="3" xfId="1" applyNumberFormat="1" applyFont="1" applyFill="1" applyBorder="1"/>
    <xf numFmtId="0" fontId="5" fillId="0" borderId="15" xfId="0" applyFont="1" applyFill="1" applyBorder="1" applyAlignment="1">
      <alignment horizontal="right"/>
    </xf>
    <xf numFmtId="165" fontId="11" fillId="7" borderId="1" xfId="1" applyNumberFormat="1" applyFont="1" applyFill="1" applyBorder="1"/>
    <xf numFmtId="165" fontId="0" fillId="0" borderId="28" xfId="1" applyNumberFormat="1" applyFont="1" applyBorder="1"/>
    <xf numFmtId="0" fontId="25" fillId="0" borderId="1" xfId="0" applyFont="1" applyBorder="1" applyAlignment="1">
      <alignment wrapText="1"/>
    </xf>
    <xf numFmtId="0" fontId="25" fillId="0" borderId="1" xfId="0" applyFont="1" applyFill="1" applyBorder="1"/>
    <xf numFmtId="0" fontId="0" fillId="0" borderId="0" xfId="0" applyAlignment="1"/>
    <xf numFmtId="0" fontId="0" fillId="0" borderId="1" xfId="0" applyFont="1" applyBorder="1" applyAlignment="1">
      <alignment wrapText="1"/>
    </xf>
    <xf numFmtId="165" fontId="12" fillId="6" borderId="1" xfId="1" applyNumberFormat="1" applyFont="1" applyFill="1" applyBorder="1"/>
    <xf numFmtId="165" fontId="12" fillId="0" borderId="1" xfId="1" applyNumberFormat="1" applyFont="1" applyFill="1" applyBorder="1"/>
    <xf numFmtId="165" fontId="12" fillId="7" borderId="1" xfId="1" applyNumberFormat="1" applyFont="1" applyFill="1" applyBorder="1"/>
    <xf numFmtId="165" fontId="12" fillId="8" borderId="1" xfId="1" applyNumberFormat="1" applyFont="1" applyFill="1" applyBorder="1"/>
    <xf numFmtId="165" fontId="12" fillId="0" borderId="1" xfId="1" applyNumberFormat="1" applyFont="1" applyBorder="1"/>
    <xf numFmtId="0" fontId="12" fillId="12" borderId="1" xfId="0" applyFont="1" applyFill="1" applyBorder="1" applyAlignment="1">
      <alignment wrapText="1"/>
    </xf>
    <xf numFmtId="0" fontId="12" fillId="0" borderId="1" xfId="0" applyFont="1" applyBorder="1" applyAlignment="1">
      <alignment wrapText="1"/>
    </xf>
    <xf numFmtId="165" fontId="12" fillId="6" borderId="1" xfId="1" applyNumberFormat="1" applyFont="1" applyFill="1" applyBorder="1" applyAlignment="1">
      <alignment vertical="center"/>
    </xf>
    <xf numFmtId="165" fontId="12" fillId="0" borderId="1" xfId="1" applyNumberFormat="1" applyFont="1" applyFill="1" applyBorder="1" applyAlignment="1">
      <alignment vertical="center"/>
    </xf>
    <xf numFmtId="165" fontId="12" fillId="7" borderId="1" xfId="1" applyNumberFormat="1" applyFont="1" applyFill="1" applyBorder="1" applyAlignment="1">
      <alignment vertical="center"/>
    </xf>
    <xf numFmtId="165" fontId="12" fillId="8" borderId="1" xfId="1" applyNumberFormat="1" applyFont="1" applyFill="1" applyBorder="1" applyAlignment="1">
      <alignment vertical="center"/>
    </xf>
    <xf numFmtId="0" fontId="12" fillId="0" borderId="1" xfId="0" applyFont="1" applyBorder="1" applyAlignment="1">
      <alignment vertical="top" wrapText="1"/>
    </xf>
    <xf numFmtId="165" fontId="26" fillId="0" borderId="1" xfId="1" applyNumberFormat="1" applyFont="1" applyBorder="1"/>
    <xf numFmtId="0" fontId="26" fillId="0" borderId="1" xfId="0" applyFont="1" applyBorder="1"/>
    <xf numFmtId="43" fontId="26" fillId="0" borderId="1" xfId="1" applyFont="1" applyBorder="1"/>
    <xf numFmtId="0" fontId="26" fillId="0" borderId="1" xfId="0" applyFont="1" applyBorder="1" applyAlignment="1">
      <alignment horizontal="center" wrapText="1"/>
    </xf>
    <xf numFmtId="0" fontId="12" fillId="5" borderId="0" xfId="0" applyFont="1" applyFill="1"/>
    <xf numFmtId="0" fontId="13" fillId="5" borderId="0" xfId="0" applyFont="1" applyFill="1" applyAlignment="1">
      <alignment horizontal="right"/>
    </xf>
    <xf numFmtId="165" fontId="12" fillId="0" borderId="0" xfId="0" applyNumberFormat="1" applyFont="1"/>
    <xf numFmtId="0" fontId="0" fillId="0" borderId="0" xfId="0" applyFill="1" applyBorder="1"/>
    <xf numFmtId="166" fontId="7" fillId="2" borderId="1" xfId="2" applyNumberFormat="1" applyFont="1" applyFill="1" applyBorder="1" applyAlignment="1">
      <alignment horizontal="right"/>
    </xf>
    <xf numFmtId="0" fontId="6" fillId="8" borderId="1" xfId="0" applyNumberFormat="1" applyFont="1" applyFill="1" applyBorder="1" applyAlignment="1">
      <alignment horizontal="right" wrapText="1"/>
    </xf>
    <xf numFmtId="164" fontId="6" fillId="8" borderId="1" xfId="0" applyNumberFormat="1" applyFont="1" applyFill="1" applyBorder="1" applyAlignment="1">
      <alignment horizontal="right"/>
    </xf>
    <xf numFmtId="10" fontId="6" fillId="8" borderId="1" xfId="3" applyNumberFormat="1" applyFont="1" applyFill="1" applyBorder="1"/>
    <xf numFmtId="0" fontId="0" fillId="8" borderId="1" xfId="0" applyFont="1" applyFill="1" applyBorder="1"/>
    <xf numFmtId="0" fontId="0" fillId="11" borderId="4" xfId="0" applyFont="1" applyFill="1" applyBorder="1"/>
    <xf numFmtId="0" fontId="0" fillId="11" borderId="5" xfId="0" applyFont="1" applyFill="1" applyBorder="1"/>
    <xf numFmtId="0" fontId="0" fillId="11" borderId="6" xfId="0" applyFont="1" applyFill="1" applyBorder="1"/>
    <xf numFmtId="10" fontId="6" fillId="11" borderId="1" xfId="3" applyNumberFormat="1" applyFont="1" applyFill="1" applyBorder="1"/>
    <xf numFmtId="0" fontId="0" fillId="11" borderId="1" xfId="0" applyFont="1" applyFill="1" applyBorder="1"/>
    <xf numFmtId="164" fontId="6" fillId="11" borderId="7" xfId="0" applyNumberFormat="1" applyFont="1" applyFill="1" applyBorder="1" applyAlignment="1">
      <alignment horizontal="right"/>
    </xf>
    <xf numFmtId="164" fontId="6" fillId="8" borderId="7" xfId="0" applyNumberFormat="1" applyFont="1" applyFill="1" applyBorder="1" applyAlignment="1">
      <alignment horizontal="right"/>
    </xf>
    <xf numFmtId="164" fontId="6" fillId="8" borderId="5" xfId="0" applyNumberFormat="1" applyFont="1" applyFill="1" applyBorder="1" applyAlignment="1">
      <alignment horizontal="right"/>
    </xf>
    <xf numFmtId="164" fontId="6" fillId="8" borderId="0" xfId="0" applyNumberFormat="1" applyFont="1" applyFill="1" applyBorder="1" applyAlignment="1">
      <alignment horizontal="right"/>
    </xf>
    <xf numFmtId="0" fontId="6" fillId="8" borderId="9" xfId="0" applyFont="1" applyFill="1" applyBorder="1"/>
    <xf numFmtId="164" fontId="6" fillId="8" borderId="10" xfId="0" applyNumberFormat="1" applyFont="1" applyFill="1" applyBorder="1" applyAlignment="1">
      <alignment horizontal="right"/>
    </xf>
    <xf numFmtId="0" fontId="6" fillId="8" borderId="7" xfId="0" applyFont="1" applyFill="1" applyBorder="1"/>
    <xf numFmtId="164" fontId="6" fillId="11" borderId="5" xfId="0" applyNumberFormat="1" applyFont="1" applyFill="1" applyBorder="1" applyAlignment="1">
      <alignment horizontal="right"/>
    </xf>
    <xf numFmtId="0" fontId="6" fillId="11" borderId="7" xfId="0" applyFont="1" applyFill="1" applyBorder="1"/>
    <xf numFmtId="164" fontId="6" fillId="11" borderId="0" xfId="0" applyNumberFormat="1" applyFont="1" applyFill="1" applyBorder="1" applyAlignment="1">
      <alignment horizontal="right"/>
    </xf>
    <xf numFmtId="0" fontId="6" fillId="11" borderId="9" xfId="0" applyFont="1" applyFill="1" applyBorder="1"/>
    <xf numFmtId="164" fontId="6" fillId="11" borderId="10" xfId="0" applyNumberFormat="1" applyFont="1" applyFill="1" applyBorder="1" applyAlignment="1">
      <alignment horizontal="right"/>
    </xf>
    <xf numFmtId="164" fontId="6" fillId="17" borderId="5" xfId="0" applyNumberFormat="1" applyFont="1" applyFill="1" applyBorder="1" applyAlignment="1">
      <alignment horizontal="right"/>
    </xf>
    <xf numFmtId="3" fontId="6" fillId="17" borderId="5" xfId="0" applyNumberFormat="1" applyFont="1" applyFill="1" applyBorder="1"/>
    <xf numFmtId="0" fontId="6" fillId="17" borderId="7" xfId="0" applyFont="1" applyFill="1" applyBorder="1"/>
    <xf numFmtId="164" fontId="6" fillId="17" borderId="0" xfId="0" applyNumberFormat="1" applyFont="1" applyFill="1" applyBorder="1" applyAlignment="1">
      <alignment horizontal="right"/>
    </xf>
    <xf numFmtId="0" fontId="6" fillId="17" borderId="9" xfId="0" applyFont="1" applyFill="1" applyBorder="1"/>
    <xf numFmtId="164" fontId="6" fillId="17" borderId="10" xfId="0" applyNumberFormat="1" applyFont="1" applyFill="1" applyBorder="1" applyAlignment="1">
      <alignment horizontal="right"/>
    </xf>
    <xf numFmtId="165" fontId="2" fillId="6" borderId="17" xfId="1" applyNumberFormat="1" applyFont="1" applyFill="1" applyBorder="1"/>
    <xf numFmtId="165" fontId="2" fillId="0" borderId="17" xfId="1" applyNumberFormat="1" applyFont="1" applyFill="1" applyBorder="1"/>
    <xf numFmtId="165" fontId="2" fillId="7" borderId="17" xfId="1" applyNumberFormat="1" applyFont="1" applyFill="1" applyBorder="1"/>
    <xf numFmtId="165" fontId="2" fillId="8" borderId="17" xfId="1" applyNumberFormat="1" applyFont="1" applyFill="1" applyBorder="1"/>
    <xf numFmtId="0" fontId="2" fillId="0" borderId="17" xfId="0" applyFont="1" applyBorder="1"/>
    <xf numFmtId="0" fontId="2" fillId="5" borderId="0" xfId="0" applyFont="1" applyFill="1"/>
    <xf numFmtId="165" fontId="2" fillId="0" borderId="0" xfId="0" applyNumberFormat="1" applyFont="1" applyFill="1"/>
    <xf numFmtId="0" fontId="10" fillId="0" borderId="0" xfId="0" applyFont="1" applyFill="1" applyAlignment="1">
      <alignment horizontal="right"/>
    </xf>
    <xf numFmtId="164" fontId="6" fillId="8" borderId="1" xfId="0" applyNumberFormat="1" applyFont="1" applyFill="1" applyBorder="1" applyAlignment="1">
      <alignment horizontal="right" wrapText="1"/>
    </xf>
    <xf numFmtId="165" fontId="2" fillId="0" borderId="28" xfId="1" applyNumberFormat="1" applyFont="1" applyBorder="1"/>
    <xf numFmtId="9" fontId="0" fillId="0" borderId="1" xfId="3" applyFont="1" applyBorder="1"/>
    <xf numFmtId="165" fontId="2" fillId="0" borderId="1" xfId="1" applyNumberFormat="1" applyFont="1" applyFill="1" applyBorder="1"/>
    <xf numFmtId="164" fontId="27" fillId="4" borderId="2" xfId="0" applyNumberFormat="1" applyFont="1" applyFill="1" applyBorder="1" applyAlignment="1">
      <alignment horizontal="center" vertical="center" wrapText="1"/>
    </xf>
    <xf numFmtId="165" fontId="0" fillId="0" borderId="0" xfId="0" applyNumberFormat="1" applyFill="1"/>
    <xf numFmtId="43" fontId="0" fillId="0" borderId="0" xfId="0" applyNumberFormat="1"/>
    <xf numFmtId="0" fontId="10" fillId="11" borderId="0" xfId="0" applyFont="1" applyFill="1" applyBorder="1" applyAlignment="1">
      <alignment horizontal="right"/>
    </xf>
    <xf numFmtId="0" fontId="0" fillId="11" borderId="0" xfId="0" applyFill="1" applyBorder="1"/>
    <xf numFmtId="165" fontId="2" fillId="11" borderId="0" xfId="1" applyNumberFormat="1" applyFont="1" applyFill="1" applyBorder="1"/>
    <xf numFmtId="165" fontId="2" fillId="11" borderId="21" xfId="1" applyNumberFormat="1" applyFont="1" applyFill="1" applyBorder="1"/>
    <xf numFmtId="165" fontId="2" fillId="11" borderId="8" xfId="1" applyNumberFormat="1" applyFont="1" applyFill="1" applyBorder="1"/>
    <xf numFmtId="0" fontId="4" fillId="11" borderId="1" xfId="0" applyFont="1" applyFill="1" applyBorder="1" applyAlignment="1">
      <alignment horizontal="center" wrapText="1"/>
    </xf>
    <xf numFmtId="165" fontId="2" fillId="11" borderId="11" xfId="1" applyNumberFormat="1" applyFont="1" applyFill="1" applyBorder="1"/>
    <xf numFmtId="165" fontId="0" fillId="11" borderId="0" xfId="1" applyNumberFormat="1" applyFont="1" applyFill="1"/>
    <xf numFmtId="0" fontId="4" fillId="11" borderId="1" xfId="0" applyFont="1" applyFill="1" applyBorder="1" applyAlignment="1">
      <alignment horizontal="center"/>
    </xf>
    <xf numFmtId="165" fontId="0" fillId="11" borderId="11" xfId="1" applyNumberFormat="1" applyFont="1" applyFill="1" applyBorder="1"/>
    <xf numFmtId="165" fontId="2" fillId="11" borderId="1" xfId="1" applyNumberFormat="1" applyFont="1" applyFill="1" applyBorder="1"/>
    <xf numFmtId="165" fontId="28" fillId="0" borderId="12" xfId="1" applyNumberFormat="1" applyFont="1" applyFill="1" applyBorder="1"/>
    <xf numFmtId="165" fontId="28" fillId="6" borderId="12" xfId="1" applyNumberFormat="1" applyFont="1" applyFill="1" applyBorder="1"/>
    <xf numFmtId="165" fontId="29" fillId="6" borderId="12" xfId="1" applyNumberFormat="1" applyFont="1" applyFill="1" applyBorder="1"/>
    <xf numFmtId="165" fontId="29" fillId="0" borderId="12" xfId="1" applyNumberFormat="1" applyFont="1" applyFill="1" applyBorder="1"/>
    <xf numFmtId="165" fontId="30" fillId="6" borderId="12" xfId="1" applyNumberFormat="1" applyFont="1" applyFill="1" applyBorder="1"/>
    <xf numFmtId="165" fontId="30" fillId="0" borderId="12" xfId="1" applyNumberFormat="1" applyFont="1" applyFill="1" applyBorder="1"/>
    <xf numFmtId="0" fontId="7" fillId="0" borderId="12" xfId="0" applyFont="1" applyFill="1" applyBorder="1"/>
    <xf numFmtId="43" fontId="7" fillId="0" borderId="12" xfId="1" applyFont="1" applyFill="1" applyBorder="1"/>
    <xf numFmtId="42" fontId="2" fillId="18" borderId="1" xfId="2" applyNumberFormat="1" applyFont="1" applyFill="1" applyBorder="1"/>
    <xf numFmtId="165" fontId="2" fillId="5" borderId="0" xfId="0" applyNumberFormat="1" applyFont="1" applyFill="1" applyAlignment="1">
      <alignment wrapText="1"/>
    </xf>
    <xf numFmtId="165" fontId="2" fillId="6" borderId="1" xfId="1" applyNumberFormat="1" applyFont="1" applyFill="1" applyBorder="1"/>
    <xf numFmtId="0" fontId="10" fillId="0" borderId="0" xfId="0" applyFont="1" applyFill="1"/>
    <xf numFmtId="10" fontId="0" fillId="0" borderId="0" xfId="3" applyNumberFormat="1" applyFont="1"/>
    <xf numFmtId="165" fontId="4" fillId="6" borderId="1" xfId="1" applyNumberFormat="1" applyFont="1" applyFill="1" applyBorder="1"/>
    <xf numFmtId="165" fontId="4" fillId="0" borderId="1" xfId="1" applyNumberFormat="1" applyFont="1" applyFill="1" applyBorder="1"/>
    <xf numFmtId="165" fontId="4" fillId="0" borderId="1" xfId="1" applyNumberFormat="1" applyFont="1" applyFill="1" applyBorder="1" applyAlignment="1">
      <alignment wrapText="1"/>
    </xf>
    <xf numFmtId="0" fontId="31" fillId="0" borderId="0" xfId="0" applyFont="1"/>
    <xf numFmtId="9" fontId="0" fillId="0" borderId="0" xfId="3" applyFont="1"/>
    <xf numFmtId="0" fontId="0" fillId="0" borderId="1" xfId="0" applyBorder="1" applyAlignment="1">
      <alignment horizontal="left" wrapText="1"/>
    </xf>
    <xf numFmtId="166" fontId="6" fillId="17" borderId="6" xfId="3" applyNumberFormat="1" applyFont="1" applyFill="1" applyBorder="1"/>
    <xf numFmtId="167" fontId="6" fillId="17" borderId="0" xfId="2" applyNumberFormat="1" applyFont="1" applyFill="1" applyBorder="1"/>
    <xf numFmtId="167" fontId="6" fillId="17" borderId="8" xfId="2" applyNumberFormat="1" applyFont="1" applyFill="1" applyBorder="1"/>
    <xf numFmtId="165" fontId="0" fillId="0" borderId="0" xfId="0" applyNumberFormat="1"/>
    <xf numFmtId="165" fontId="0" fillId="6" borderId="1" xfId="1" applyNumberFormat="1" applyFont="1" applyFill="1" applyBorder="1"/>
    <xf numFmtId="0" fontId="14" fillId="0" borderId="1" xfId="0" applyFont="1" applyFill="1" applyBorder="1"/>
    <xf numFmtId="0" fontId="14" fillId="0" borderId="12" xfId="0" applyFont="1" applyFill="1" applyBorder="1"/>
    <xf numFmtId="0" fontId="14" fillId="0" borderId="12" xfId="0" applyFont="1" applyFill="1" applyBorder="1" applyAlignment="1">
      <alignment horizontal="center"/>
    </xf>
    <xf numFmtId="43" fontId="14" fillId="0" borderId="12" xfId="1" applyFont="1" applyFill="1" applyBorder="1"/>
    <xf numFmtId="0" fontId="0" fillId="0" borderId="4" xfId="0" applyFill="1" applyBorder="1"/>
    <xf numFmtId="165" fontId="26" fillId="5" borderId="0" xfId="0" applyNumberFormat="1" applyFont="1" applyFill="1"/>
    <xf numFmtId="165" fontId="2" fillId="12" borderId="1" xfId="1" applyNumberFormat="1" applyFont="1" applyFill="1" applyBorder="1"/>
    <xf numFmtId="165" fontId="0" fillId="0" borderId="5" xfId="1" applyNumberFormat="1" applyFont="1" applyFill="1" applyBorder="1"/>
    <xf numFmtId="165" fontId="0" fillId="0" borderId="20" xfId="1" applyNumberFormat="1" applyFont="1" applyFill="1" applyBorder="1"/>
    <xf numFmtId="165" fontId="0" fillId="0" borderId="0" xfId="1" applyNumberFormat="1" applyFont="1" applyFill="1" applyBorder="1"/>
    <xf numFmtId="0" fontId="5" fillId="5" borderId="1" xfId="0" applyFont="1" applyFill="1" applyBorder="1" applyAlignment="1">
      <alignment horizontal="left"/>
    </xf>
    <xf numFmtId="0" fontId="8" fillId="5" borderId="1" xfId="0" applyFont="1" applyFill="1" applyBorder="1" applyAlignment="1">
      <alignment horizontal="left"/>
    </xf>
    <xf numFmtId="165" fontId="6" fillId="3" borderId="1" xfId="2" applyNumberFormat="1" applyFont="1" applyFill="1" applyBorder="1" applyAlignment="1">
      <alignment horizontal="right"/>
    </xf>
    <xf numFmtId="165" fontId="4" fillId="0" borderId="1" xfId="0" applyNumberFormat="1" applyFont="1" applyBorder="1" applyAlignment="1">
      <alignment horizontal="center"/>
    </xf>
    <xf numFmtId="0" fontId="32" fillId="0" borderId="0" xfId="0" applyFont="1" applyAlignment="1">
      <alignment horizontal="left" wrapText="1"/>
    </xf>
    <xf numFmtId="10" fontId="0" fillId="0" borderId="3" xfId="3" applyNumberFormat="1" applyFont="1" applyBorder="1"/>
    <xf numFmtId="14" fontId="14" fillId="0" borderId="0" xfId="9" applyNumberFormat="1"/>
    <xf numFmtId="10" fontId="6" fillId="2" borderId="1" xfId="3" applyNumberFormat="1" applyFont="1" applyFill="1" applyBorder="1" applyAlignment="1">
      <alignment horizontal="right"/>
    </xf>
    <xf numFmtId="0" fontId="2" fillId="0" borderId="12" xfId="0" applyFont="1" applyBorder="1" applyAlignment="1">
      <alignment horizontal="right"/>
    </xf>
    <xf numFmtId="42" fontId="0" fillId="0" borderId="1" xfId="0" applyNumberFormat="1" applyBorder="1"/>
    <xf numFmtId="0" fontId="0" fillId="0" borderId="0" xfId="0"/>
    <xf numFmtId="0" fontId="0" fillId="0" borderId="0" xfId="0" applyFont="1"/>
    <xf numFmtId="165" fontId="0" fillId="0" borderId="0" xfId="1" applyNumberFormat="1" applyFont="1"/>
    <xf numFmtId="165" fontId="9" fillId="19" borderId="0" xfId="0" applyNumberFormat="1" applyFont="1" applyFill="1"/>
    <xf numFmtId="0" fontId="0" fillId="0" borderId="0" xfId="0" applyAlignment="1">
      <alignment horizontal="right"/>
    </xf>
    <xf numFmtId="165" fontId="0" fillId="19" borderId="0" xfId="0" applyNumberFormat="1" applyFill="1"/>
    <xf numFmtId="165" fontId="2" fillId="19" borderId="15" xfId="1" applyNumberFormat="1" applyFont="1" applyFill="1" applyBorder="1"/>
    <xf numFmtId="43" fontId="0" fillId="4" borderId="0" xfId="1" applyNumberFormat="1" applyFont="1" applyFill="1" applyBorder="1"/>
    <xf numFmtId="166" fontId="7" fillId="2" borderId="1" xfId="3" applyNumberFormat="1" applyFont="1" applyFill="1" applyBorder="1" applyAlignment="1">
      <alignment horizontal="right"/>
    </xf>
    <xf numFmtId="166" fontId="6" fillId="3" borderId="1" xfId="3" applyNumberFormat="1" applyFont="1" applyFill="1" applyBorder="1" applyAlignment="1">
      <alignment horizontal="right"/>
    </xf>
    <xf numFmtId="164" fontId="3" fillId="4" borderId="15" xfId="0" applyNumberFormat="1" applyFont="1" applyFill="1" applyBorder="1" applyAlignment="1">
      <alignment horizontal="center" vertical="center" wrapText="1"/>
    </xf>
    <xf numFmtId="164" fontId="27" fillId="4" borderId="15" xfId="0" applyNumberFormat="1" applyFont="1" applyFill="1" applyBorder="1" applyAlignment="1">
      <alignment horizontal="center" vertical="center" wrapText="1"/>
    </xf>
    <xf numFmtId="165" fontId="0" fillId="8" borderId="1" xfId="1" applyNumberFormat="1" applyFont="1" applyFill="1" applyBorder="1" applyAlignment="1">
      <alignment wrapText="1"/>
    </xf>
    <xf numFmtId="165" fontId="0" fillId="0" borderId="1" xfId="1" applyNumberFormat="1" applyFont="1" applyFill="1" applyBorder="1" applyAlignment="1">
      <alignment horizontal="center" wrapText="1"/>
    </xf>
    <xf numFmtId="0" fontId="0" fillId="0" borderId="0" xfId="0" applyAlignment="1">
      <alignment vertical="center"/>
    </xf>
    <xf numFmtId="0" fontId="11" fillId="0" borderId="0" xfId="0" applyFont="1" applyAlignment="1">
      <alignment vertical="center"/>
    </xf>
    <xf numFmtId="0" fontId="14" fillId="0" borderId="29" xfId="0" applyFont="1" applyFill="1" applyBorder="1"/>
    <xf numFmtId="0" fontId="14" fillId="0" borderId="30" xfId="0" applyFont="1" applyFill="1" applyBorder="1"/>
    <xf numFmtId="43" fontId="12" fillId="0" borderId="1" xfId="1" applyNumberFormat="1" applyFont="1" applyFill="1" applyBorder="1"/>
    <xf numFmtId="43" fontId="12" fillId="0" borderId="1" xfId="1" applyNumberFormat="1" applyFont="1" applyFill="1" applyBorder="1" applyAlignment="1">
      <alignment horizontal="center"/>
    </xf>
    <xf numFmtId="0" fontId="37" fillId="0" borderId="1" xfId="0" applyFont="1" applyFill="1" applyBorder="1"/>
    <xf numFmtId="0" fontId="38" fillId="0" borderId="1" xfId="0" applyFont="1" applyBorder="1"/>
    <xf numFmtId="165" fontId="4" fillId="16" borderId="12" xfId="1" applyNumberFormat="1" applyFont="1" applyFill="1" applyBorder="1"/>
    <xf numFmtId="0" fontId="0" fillId="0" borderId="0" xfId="0"/>
    <xf numFmtId="165" fontId="0" fillId="0" borderId="1" xfId="1" applyNumberFormat="1" applyFont="1" applyFill="1" applyBorder="1"/>
    <xf numFmtId="165" fontId="0" fillId="7" borderId="1" xfId="1" applyNumberFormat="1" applyFont="1" applyFill="1" applyBorder="1"/>
    <xf numFmtId="165" fontId="0" fillId="8" borderId="1" xfId="1" applyNumberFormat="1" applyFont="1" applyFill="1" applyBorder="1"/>
    <xf numFmtId="0" fontId="0" fillId="0" borderId="7" xfId="0" applyFill="1" applyBorder="1" applyAlignment="1">
      <alignment wrapText="1"/>
    </xf>
    <xf numFmtId="0" fontId="0" fillId="0" borderId="0" xfId="0" applyFill="1" applyAlignment="1">
      <alignment wrapText="1"/>
    </xf>
    <xf numFmtId="0" fontId="25" fillId="0" borderId="5" xfId="0" applyFont="1" applyBorder="1" applyAlignment="1">
      <alignment wrapText="1"/>
    </xf>
    <xf numFmtId="0" fontId="25" fillId="0" borderId="0" xfId="0" applyFont="1" applyBorder="1" applyAlignment="1">
      <alignment wrapText="1"/>
    </xf>
    <xf numFmtId="42" fontId="0" fillId="5" borderId="0" xfId="0" applyNumberFormat="1" applyFill="1"/>
    <xf numFmtId="165" fontId="0" fillId="6" borderId="12" xfId="1" applyNumberFormat="1" applyFont="1" applyFill="1" applyBorder="1"/>
    <xf numFmtId="165" fontId="0" fillId="7" borderId="12" xfId="1" applyNumberFormat="1" applyFont="1" applyFill="1" applyBorder="1"/>
    <xf numFmtId="165" fontId="0" fillId="8" borderId="12" xfId="1" applyNumberFormat="1" applyFont="1" applyFill="1" applyBorder="1"/>
    <xf numFmtId="0" fontId="0" fillId="0" borderId="0" xfId="0"/>
    <xf numFmtId="0" fontId="14" fillId="0" borderId="0" xfId="0" applyFont="1" applyFill="1" applyBorder="1"/>
    <xf numFmtId="0" fontId="0" fillId="51" borderId="0" xfId="0" applyFill="1"/>
    <xf numFmtId="0" fontId="39" fillId="51" borderId="0" xfId="0" applyFont="1" applyFill="1"/>
    <xf numFmtId="0" fontId="0" fillId="0" borderId="1" xfId="0" applyBorder="1" applyAlignment="1">
      <alignment wrapText="1"/>
    </xf>
    <xf numFmtId="0" fontId="0" fillId="0" borderId="1" xfId="0" applyFill="1" applyBorder="1"/>
    <xf numFmtId="0" fontId="0" fillId="0" borderId="1" xfId="0" applyFill="1" applyBorder="1" applyAlignment="1">
      <alignment wrapText="1"/>
    </xf>
    <xf numFmtId="0" fontId="0" fillId="0" borderId="0" xfId="0" applyFont="1" applyAlignment="1"/>
    <xf numFmtId="0" fontId="35" fillId="0" borderId="43" xfId="0" applyFont="1" applyBorder="1" applyAlignment="1">
      <alignment horizontal="center" vertical="center" wrapText="1"/>
    </xf>
    <xf numFmtId="3" fontId="35" fillId="0" borderId="43" xfId="0" applyNumberFormat="1" applyFont="1" applyBorder="1" applyAlignment="1">
      <alignment horizontal="center" vertical="center" wrapText="1"/>
    </xf>
    <xf numFmtId="0" fontId="36" fillId="53" borderId="43" xfId="0" applyFont="1" applyFill="1" applyBorder="1" applyAlignment="1">
      <alignment horizontal="left" vertical="center" wrapText="1"/>
    </xf>
    <xf numFmtId="0" fontId="35" fillId="53" borderId="43" xfId="0" applyFont="1" applyFill="1" applyBorder="1" applyAlignment="1">
      <alignment horizontal="center" vertical="center" wrapText="1"/>
    </xf>
    <xf numFmtId="3" fontId="35" fillId="53" borderId="43" xfId="0" applyNumberFormat="1" applyFont="1" applyFill="1" applyBorder="1" applyAlignment="1">
      <alignment horizontal="center" vertical="center" wrapText="1"/>
    </xf>
    <xf numFmtId="0" fontId="36" fillId="54" borderId="43" xfId="0" applyFont="1" applyFill="1" applyBorder="1" applyAlignment="1">
      <alignment horizontal="right" wrapText="1"/>
    </xf>
    <xf numFmtId="0" fontId="35" fillId="54" borderId="43" xfId="0" applyFont="1" applyFill="1" applyBorder="1" applyAlignment="1">
      <alignment horizontal="center" wrapText="1"/>
    </xf>
    <xf numFmtId="10" fontId="6" fillId="11" borderId="0" xfId="3" applyNumberFormat="1" applyFont="1" applyFill="1" applyBorder="1"/>
    <xf numFmtId="10" fontId="6" fillId="11" borderId="8" xfId="3" applyNumberFormat="1" applyFont="1" applyFill="1" applyBorder="1"/>
    <xf numFmtId="10" fontId="6" fillId="8" borderId="0" xfId="3" applyNumberFormat="1" applyFont="1" applyFill="1" applyBorder="1"/>
    <xf numFmtId="10" fontId="6" fillId="8" borderId="8" xfId="3" applyNumberFormat="1" applyFont="1" applyFill="1" applyBorder="1"/>
    <xf numFmtId="164" fontId="6" fillId="8" borderId="9" xfId="0" applyNumberFormat="1" applyFont="1" applyFill="1" applyBorder="1" applyAlignment="1">
      <alignment horizontal="right"/>
    </xf>
    <xf numFmtId="10" fontId="6" fillId="17" borderId="0" xfId="3" applyNumberFormat="1" applyFont="1" applyFill="1" applyBorder="1"/>
    <xf numFmtId="10" fontId="6" fillId="17" borderId="8" xfId="3" applyNumberFormat="1" applyFont="1" applyFill="1" applyBorder="1"/>
    <xf numFmtId="164" fontId="6" fillId="11" borderId="15" xfId="0" applyNumberFormat="1" applyFont="1" applyFill="1" applyBorder="1" applyAlignment="1">
      <alignment horizontal="right"/>
    </xf>
    <xf numFmtId="164" fontId="6" fillId="17" borderId="15" xfId="0" applyNumberFormat="1" applyFont="1" applyFill="1" applyBorder="1" applyAlignment="1">
      <alignment horizontal="right"/>
    </xf>
    <xf numFmtId="0" fontId="6" fillId="11" borderId="1" xfId="0" applyNumberFormat="1" applyFont="1" applyFill="1" applyBorder="1" applyAlignment="1">
      <alignment horizontal="right" wrapText="1"/>
    </xf>
    <xf numFmtId="164" fontId="6" fillId="11" borderId="1" xfId="0" applyNumberFormat="1" applyFont="1" applyFill="1" applyBorder="1" applyAlignment="1">
      <alignment horizontal="right"/>
    </xf>
    <xf numFmtId="164" fontId="6" fillId="11" borderId="1" xfId="0" applyNumberFormat="1" applyFont="1" applyFill="1" applyBorder="1" applyAlignment="1">
      <alignment horizontal="right" wrapText="1"/>
    </xf>
    <xf numFmtId="0" fontId="0" fillId="0" borderId="0" xfId="0"/>
    <xf numFmtId="165" fontId="2" fillId="11" borderId="15" xfId="1" applyNumberFormat="1" applyFont="1" applyFill="1" applyBorder="1"/>
    <xf numFmtId="165" fontId="1" fillId="0" borderId="1" xfId="1" applyNumberFormat="1" applyFont="1" applyBorder="1"/>
    <xf numFmtId="10" fontId="0" fillId="0" borderId="1" xfId="3" applyNumberFormat="1" applyFont="1" applyBorder="1"/>
    <xf numFmtId="0" fontId="2" fillId="0" borderId="1" xfId="0" applyFont="1" applyBorder="1" applyAlignment="1">
      <alignment wrapText="1"/>
    </xf>
    <xf numFmtId="0" fontId="2" fillId="0" borderId="1" xfId="0" applyFont="1" applyBorder="1"/>
    <xf numFmtId="0" fontId="0" fillId="0" borderId="0" xfId="0"/>
    <xf numFmtId="0" fontId="0" fillId="0" borderId="1" xfId="0" applyBorder="1"/>
    <xf numFmtId="0" fontId="5" fillId="0" borderId="1" xfId="0" applyFont="1" applyBorder="1" applyAlignment="1">
      <alignment horizontal="left"/>
    </xf>
    <xf numFmtId="165" fontId="0" fillId="0" borderId="1" xfId="1" applyNumberFormat="1" applyFont="1" applyBorder="1"/>
    <xf numFmtId="0" fontId="0" fillId="0" borderId="0" xfId="0" applyFont="1"/>
    <xf numFmtId="10" fontId="6" fillId="8" borderId="0" xfId="0" applyNumberFormat="1" applyFont="1" applyFill="1" applyBorder="1"/>
    <xf numFmtId="165" fontId="0" fillId="11" borderId="1" xfId="1" applyNumberFormat="1" applyFont="1" applyFill="1" applyBorder="1"/>
    <xf numFmtId="10" fontId="7" fillId="2" borderId="1" xfId="3" applyNumberFormat="1" applyFont="1" applyFill="1" applyBorder="1" applyAlignment="1">
      <alignment horizontal="right"/>
    </xf>
    <xf numFmtId="165" fontId="0" fillId="11" borderId="3" xfId="1" applyNumberFormat="1" applyFont="1" applyFill="1" applyBorder="1"/>
    <xf numFmtId="165" fontId="0" fillId="11" borderId="28" xfId="1" applyNumberFormat="1" applyFont="1" applyFill="1" applyBorder="1"/>
    <xf numFmtId="165" fontId="0" fillId="11" borderId="15" xfId="1" applyNumberFormat="1" applyFont="1" applyFill="1" applyBorder="1"/>
    <xf numFmtId="165" fontId="1" fillId="0" borderId="1" xfId="1" applyNumberFormat="1" applyFont="1" applyFill="1" applyBorder="1"/>
    <xf numFmtId="165" fontId="14" fillId="0" borderId="12" xfId="1" applyNumberFormat="1" applyFont="1" applyFill="1" applyBorder="1"/>
    <xf numFmtId="0" fontId="0" fillId="5" borderId="0" xfId="0" applyFont="1" applyFill="1"/>
    <xf numFmtId="0" fontId="0" fillId="0" borderId="0" xfId="0" applyFont="1" applyFill="1"/>
    <xf numFmtId="165" fontId="0" fillId="0" borderId="0" xfId="0" applyNumberFormat="1" applyFont="1" applyFill="1" applyAlignment="1">
      <alignment horizontal="left"/>
    </xf>
    <xf numFmtId="165" fontId="7" fillId="7" borderId="1" xfId="1" applyNumberFormat="1" applyFont="1" applyFill="1" applyBorder="1"/>
    <xf numFmtId="0" fontId="11" fillId="0" borderId="1" xfId="0" applyFont="1" applyBorder="1" applyAlignment="1">
      <alignment wrapText="1"/>
    </xf>
    <xf numFmtId="165" fontId="7" fillId="6" borderId="1" xfId="1" applyNumberFormat="1" applyFont="1" applyFill="1" applyBorder="1"/>
    <xf numFmtId="165" fontId="7" fillId="8" borderId="1" xfId="1" applyNumberFormat="1" applyFont="1" applyFill="1" applyBorder="1"/>
    <xf numFmtId="0" fontId="7" fillId="0" borderId="1" xfId="0" applyFont="1" applyBorder="1" applyAlignment="1">
      <alignment wrapText="1"/>
    </xf>
    <xf numFmtId="0" fontId="14" fillId="5" borderId="7" xfId="0" applyFont="1" applyFill="1" applyBorder="1"/>
    <xf numFmtId="0" fontId="0" fillId="0" borderId="0" xfId="0" applyAlignment="1">
      <alignment horizontal="center"/>
    </xf>
    <xf numFmtId="0" fontId="0" fillId="0" borderId="0" xfId="0"/>
    <xf numFmtId="0" fontId="12" fillId="0" borderId="1" xfId="0" applyFont="1" applyFill="1" applyBorder="1" applyAlignment="1">
      <alignment wrapText="1"/>
    </xf>
    <xf numFmtId="170" fontId="0" fillId="7" borderId="1" xfId="1" applyNumberFormat="1" applyFont="1" applyFill="1" applyBorder="1"/>
    <xf numFmtId="0" fontId="0" fillId="16" borderId="1" xfId="0" applyFill="1" applyBorder="1" applyAlignment="1">
      <alignment wrapText="1"/>
    </xf>
    <xf numFmtId="0" fontId="0" fillId="0" borderId="1" xfId="0" applyFill="1" applyBorder="1" applyAlignment="1">
      <alignment horizontal="left" wrapText="1"/>
    </xf>
    <xf numFmtId="0" fontId="14" fillId="0" borderId="0" xfId="5" applyFont="1" applyAlignment="1">
      <alignment wrapText="1"/>
    </xf>
    <xf numFmtId="0" fontId="2" fillId="0" borderId="0" xfId="0" applyFont="1" applyFill="1"/>
    <xf numFmtId="0" fontId="12" fillId="0" borderId="0" xfId="0" applyFont="1" applyAlignment="1">
      <alignment horizontal="right"/>
    </xf>
    <xf numFmtId="0" fontId="12" fillId="0" borderId="12" xfId="0" applyFont="1" applyFill="1" applyBorder="1"/>
    <xf numFmtId="165" fontId="0" fillId="0" borderId="0" xfId="1" applyNumberFormat="1" applyFont="1" applyFill="1"/>
    <xf numFmtId="165" fontId="0" fillId="0" borderId="0" xfId="3" applyNumberFormat="1" applyFont="1" applyFill="1"/>
    <xf numFmtId="9" fontId="0" fillId="0" borderId="0" xfId="3" applyFont="1" applyFill="1"/>
    <xf numFmtId="1" fontId="0" fillId="0" borderId="0" xfId="0" applyNumberFormat="1"/>
    <xf numFmtId="14" fontId="17" fillId="0" borderId="0" xfId="5" applyNumberFormat="1" applyAlignment="1">
      <alignment vertical="top"/>
    </xf>
    <xf numFmtId="0" fontId="0" fillId="0" borderId="7" xfId="0" applyFill="1" applyBorder="1" applyAlignment="1"/>
    <xf numFmtId="165" fontId="2" fillId="11" borderId="44" xfId="1" applyNumberFormat="1" applyFont="1" applyFill="1" applyBorder="1"/>
    <xf numFmtId="165" fontId="2" fillId="11" borderId="10" xfId="1" applyNumberFormat="1" applyFont="1" applyFill="1" applyBorder="1"/>
    <xf numFmtId="0" fontId="10" fillId="0" borderId="0" xfId="0" applyFont="1" applyFill="1" applyBorder="1" applyAlignment="1">
      <alignment horizontal="right"/>
    </xf>
    <xf numFmtId="10" fontId="0" fillId="0" borderId="0" xfId="3" applyNumberFormat="1" applyFont="1" applyFill="1" applyBorder="1"/>
    <xf numFmtId="165" fontId="2" fillId="0" borderId="0" xfId="1" applyNumberFormat="1" applyFont="1" applyFill="1" applyBorder="1"/>
    <xf numFmtId="165" fontId="2" fillId="11" borderId="28" xfId="1" applyNumberFormat="1" applyFont="1" applyFill="1" applyBorder="1"/>
    <xf numFmtId="0" fontId="0" fillId="0" borderId="0" xfId="0" quotePrefix="1"/>
    <xf numFmtId="10" fontId="6" fillId="17" borderId="6" xfId="3" applyNumberFormat="1" applyFont="1" applyFill="1" applyBorder="1"/>
    <xf numFmtId="165" fontId="0" fillId="0" borderId="4" xfId="1" applyNumberFormat="1" applyFont="1" applyFill="1" applyBorder="1" applyAlignment="1">
      <alignment horizontal="left"/>
    </xf>
    <xf numFmtId="165" fontId="0" fillId="0" borderId="5" xfId="1" applyNumberFormat="1" applyFont="1" applyFill="1" applyBorder="1" applyAlignment="1">
      <alignment horizontal="left"/>
    </xf>
    <xf numFmtId="165" fontId="0" fillId="0" borderId="6" xfId="1" applyNumberFormat="1" applyFont="1" applyFill="1" applyBorder="1" applyAlignment="1">
      <alignment horizontal="left"/>
    </xf>
    <xf numFmtId="165" fontId="0" fillId="6" borderId="28" xfId="1" applyNumberFormat="1" applyFont="1" applyFill="1" applyBorder="1"/>
    <xf numFmtId="165" fontId="0" fillId="0" borderId="28" xfId="1" applyNumberFormat="1" applyFont="1" applyFill="1" applyBorder="1"/>
    <xf numFmtId="165" fontId="0" fillId="7" borderId="28" xfId="1" applyNumberFormat="1" applyFont="1" applyFill="1" applyBorder="1"/>
    <xf numFmtId="165" fontId="0" fillId="8" borderId="28" xfId="1" applyNumberFormat="1" applyFont="1" applyFill="1" applyBorder="1"/>
    <xf numFmtId="0" fontId="0" fillId="0" borderId="28" xfId="0" applyBorder="1"/>
    <xf numFmtId="0" fontId="4" fillId="0" borderId="10" xfId="0" applyFont="1" applyFill="1" applyBorder="1" applyAlignment="1">
      <alignment vertical="center"/>
    </xf>
    <xf numFmtId="165" fontId="2" fillId="0" borderId="19" xfId="1" applyNumberFormat="1" applyFont="1" applyFill="1" applyBorder="1"/>
    <xf numFmtId="0" fontId="0" fillId="0" borderId="0" xfId="0" applyAlignment="1">
      <alignment horizontal="center"/>
    </xf>
    <xf numFmtId="0" fontId="59" fillId="0" borderId="43" xfId="0" applyFont="1" applyBorder="1"/>
    <xf numFmtId="42" fontId="0" fillId="0" borderId="1" xfId="0" applyNumberFormat="1" applyBorder="1" applyAlignment="1">
      <alignment horizontal="center"/>
    </xf>
    <xf numFmtId="0" fontId="0" fillId="0" borderId="43" xfId="0" applyFont="1" applyBorder="1" applyAlignment="1"/>
    <xf numFmtId="0" fontId="0" fillId="0" borderId="43" xfId="0" applyFont="1" applyBorder="1" applyAlignment="1">
      <alignment wrapText="1"/>
    </xf>
    <xf numFmtId="0" fontId="4" fillId="0" borderId="10" xfId="0" applyFont="1" applyFill="1" applyBorder="1" applyAlignment="1">
      <alignment vertical="center" wrapText="1"/>
    </xf>
    <xf numFmtId="165" fontId="26" fillId="0" borderId="0" xfId="0" applyNumberFormat="1" applyFont="1" applyFill="1"/>
    <xf numFmtId="42" fontId="0" fillId="0" borderId="0" xfId="0" applyNumberFormat="1" applyFill="1"/>
    <xf numFmtId="0" fontId="0" fillId="56" borderId="0" xfId="0" applyFill="1"/>
    <xf numFmtId="3" fontId="34" fillId="0" borderId="0" xfId="0" applyNumberFormat="1" applyFont="1"/>
    <xf numFmtId="0" fontId="34" fillId="54" borderId="43" xfId="0" applyFont="1" applyFill="1" applyBorder="1" applyAlignment="1">
      <alignment horizontal="center"/>
    </xf>
    <xf numFmtId="3" fontId="35" fillId="54" borderId="43" xfId="0" applyNumberFormat="1" applyFont="1" applyFill="1" applyBorder="1"/>
    <xf numFmtId="0" fontId="0" fillId="0" borderId="1" xfId="0" applyFill="1" applyBorder="1" applyAlignment="1">
      <alignment horizontal="left" vertical="top" wrapText="1"/>
    </xf>
    <xf numFmtId="1" fontId="31" fillId="0" borderId="0" xfId="0" applyNumberFormat="1" applyFont="1"/>
    <xf numFmtId="1" fontId="0" fillId="19" borderId="0" xfId="0" applyNumberFormat="1" applyFill="1"/>
    <xf numFmtId="0" fontId="0" fillId="0" borderId="17" xfId="0" applyBorder="1" applyAlignment="1">
      <alignment wrapText="1"/>
    </xf>
    <xf numFmtId="9" fontId="0" fillId="12" borderId="1" xfId="3" applyNumberFormat="1" applyFont="1" applyFill="1" applyBorder="1"/>
    <xf numFmtId="165" fontId="2" fillId="12" borderId="0" xfId="0" applyNumberFormat="1" applyFont="1" applyFill="1"/>
    <xf numFmtId="0" fontId="0" fillId="0" borderId="0" xfId="0" applyAlignment="1">
      <alignment horizontal="right" wrapText="1"/>
    </xf>
    <xf numFmtId="0" fontId="14" fillId="0" borderId="1" xfId="0" applyFont="1" applyFill="1" applyBorder="1" applyAlignment="1">
      <alignment vertical="center" wrapText="1"/>
    </xf>
    <xf numFmtId="165" fontId="0" fillId="6" borderId="1" xfId="1" applyNumberFormat="1" applyFont="1" applyFill="1" applyBorder="1" applyAlignment="1">
      <alignment vertical="center"/>
    </xf>
    <xf numFmtId="165" fontId="0" fillId="0" borderId="1" xfId="1" applyNumberFormat="1" applyFont="1" applyBorder="1" applyAlignment="1">
      <alignment vertical="center"/>
    </xf>
    <xf numFmtId="165" fontId="0" fillId="7" borderId="1" xfId="1" applyNumberFormat="1" applyFont="1" applyFill="1" applyBorder="1" applyAlignment="1">
      <alignment vertical="center"/>
    </xf>
    <xf numFmtId="165" fontId="0" fillId="8" borderId="1" xfId="1" applyNumberFormat="1" applyFont="1" applyFill="1" applyBorder="1" applyAlignment="1">
      <alignment vertical="center"/>
    </xf>
    <xf numFmtId="165" fontId="62" fillId="51" borderId="0" xfId="0" applyNumberFormat="1" applyFont="1" applyFill="1"/>
    <xf numFmtId="165" fontId="0" fillId="51" borderId="0" xfId="0" applyNumberFormat="1" applyFill="1"/>
    <xf numFmtId="165" fontId="62" fillId="58" borderId="0" xfId="0" applyNumberFormat="1" applyFont="1" applyFill="1"/>
    <xf numFmtId="165" fontId="0" fillId="58" borderId="0" xfId="0" applyNumberFormat="1" applyFill="1"/>
    <xf numFmtId="0" fontId="0" fillId="51" borderId="10" xfId="0" applyFill="1" applyBorder="1" applyAlignment="1">
      <alignment horizontal="center" wrapText="1"/>
    </xf>
    <xf numFmtId="0" fontId="0" fillId="58" borderId="10" xfId="0" applyFill="1" applyBorder="1" applyAlignment="1">
      <alignment horizontal="center" wrapText="1"/>
    </xf>
    <xf numFmtId="0" fontId="0" fillId="59" borderId="22" xfId="0" applyFill="1" applyBorder="1" applyAlignment="1">
      <alignment horizontal="center" wrapText="1"/>
    </xf>
    <xf numFmtId="165" fontId="62" fillId="59" borderId="21" xfId="0" applyNumberFormat="1" applyFont="1" applyFill="1" applyBorder="1"/>
    <xf numFmtId="0" fontId="0" fillId="57" borderId="22" xfId="0" applyFill="1" applyBorder="1" applyAlignment="1">
      <alignment horizontal="center" wrapText="1"/>
    </xf>
    <xf numFmtId="165" fontId="62" fillId="57" borderId="21" xfId="0" applyNumberFormat="1" applyFont="1" applyFill="1" applyBorder="1"/>
    <xf numFmtId="165" fontId="0" fillId="59" borderId="21" xfId="1" applyNumberFormat="1" applyFont="1" applyFill="1" applyBorder="1"/>
    <xf numFmtId="165" fontId="0" fillId="57" borderId="21" xfId="1" applyNumberFormat="1" applyFont="1" applyFill="1" applyBorder="1"/>
    <xf numFmtId="10" fontId="6" fillId="11" borderId="0" xfId="0" applyNumberFormat="1" applyFont="1" applyFill="1" applyBorder="1"/>
    <xf numFmtId="9" fontId="12" fillId="0" borderId="0" xfId="3" applyFont="1"/>
    <xf numFmtId="43" fontId="12" fillId="0" borderId="0" xfId="1" applyFont="1"/>
    <xf numFmtId="0" fontId="0" fillId="0" borderId="0" xfId="0" quotePrefix="1" applyFill="1"/>
    <xf numFmtId="165" fontId="14" fillId="6" borderId="12" xfId="1" applyNumberFormat="1" applyFont="1" applyFill="1" applyBorder="1"/>
    <xf numFmtId="165" fontId="1" fillId="6" borderId="1" xfId="1" applyNumberFormat="1" applyFont="1" applyFill="1" applyBorder="1"/>
    <xf numFmtId="165" fontId="14" fillId="0" borderId="12" xfId="1" applyNumberFormat="1" applyFont="1" applyFill="1" applyBorder="1" applyAlignment="1"/>
    <xf numFmtId="0" fontId="0" fillId="0" borderId="7" xfId="0" applyFill="1" applyBorder="1" applyAlignment="1">
      <alignment vertical="top" wrapText="1"/>
    </xf>
    <xf numFmtId="10" fontId="6" fillId="5" borderId="8" xfId="3" applyNumberFormat="1" applyFont="1" applyFill="1" applyBorder="1" applyAlignment="1">
      <alignment horizontal="right"/>
    </xf>
    <xf numFmtId="164" fontId="6" fillId="0" borderId="1" xfId="0" applyNumberFormat="1" applyFont="1" applyBorder="1" applyAlignment="1">
      <alignment horizontal="right" wrapText="1"/>
    </xf>
    <xf numFmtId="10" fontId="6" fillId="19" borderId="0" xfId="3" applyNumberFormat="1" applyFont="1" applyFill="1" applyAlignment="1">
      <alignment horizontal="right"/>
    </xf>
    <xf numFmtId="171" fontId="0" fillId="0" borderId="0" xfId="0" applyNumberFormat="1" applyFill="1"/>
    <xf numFmtId="0" fontId="0" fillId="19" borderId="0" xfId="0" applyFill="1"/>
    <xf numFmtId="0" fontId="0" fillId="60" borderId="10" xfId="0" applyFill="1" applyBorder="1" applyAlignment="1">
      <alignment horizontal="center" wrapText="1"/>
    </xf>
    <xf numFmtId="165" fontId="62" fillId="60" borderId="0" xfId="0" applyNumberFormat="1" applyFont="1" applyFill="1"/>
    <xf numFmtId="165" fontId="0" fillId="60" borderId="0" xfId="0" applyNumberFormat="1" applyFill="1"/>
    <xf numFmtId="0" fontId="0" fillId="0" borderId="0" xfId="0" applyAlignment="1">
      <alignment horizontal="center"/>
    </xf>
    <xf numFmtId="0" fontId="0" fillId="0" borderId="0" xfId="0" applyAlignment="1">
      <alignment vertical="top" wrapText="1"/>
    </xf>
    <xf numFmtId="0" fontId="6" fillId="8" borderId="6" xfId="0" applyFont="1" applyFill="1" applyBorder="1"/>
    <xf numFmtId="0" fontId="6" fillId="11" borderId="6" xfId="0" applyFont="1" applyFill="1" applyBorder="1"/>
    <xf numFmtId="3" fontId="6" fillId="8" borderId="6" xfId="0" applyNumberFormat="1" applyFont="1" applyFill="1" applyBorder="1"/>
    <xf numFmtId="3" fontId="6" fillId="17" borderId="6" xfId="0" applyNumberFormat="1" applyFont="1" applyFill="1" applyBorder="1"/>
    <xf numFmtId="0" fontId="6" fillId="17" borderId="6" xfId="0" applyFont="1" applyFill="1" applyBorder="1"/>
    <xf numFmtId="0" fontId="0" fillId="0" borderId="0" xfId="0" applyFill="1" applyAlignment="1">
      <alignment vertical="top" wrapText="1"/>
    </xf>
    <xf numFmtId="165" fontId="1" fillId="11" borderId="1" xfId="1" applyNumberFormat="1" applyFont="1" applyFill="1" applyBorder="1"/>
    <xf numFmtId="165" fontId="1" fillId="0" borderId="0" xfId="1" applyNumberFormat="1" applyFont="1" applyFill="1" applyBorder="1"/>
    <xf numFmtId="165" fontId="0" fillId="0" borderId="7" xfId="0" applyNumberFormat="1" applyBorder="1"/>
    <xf numFmtId="9" fontId="0" fillId="0" borderId="0" xfId="0" applyNumberFormat="1"/>
    <xf numFmtId="171" fontId="0" fillId="0" borderId="0" xfId="0" applyNumberFormat="1"/>
    <xf numFmtId="43" fontId="0" fillId="0" borderId="0" xfId="1" applyFont="1"/>
    <xf numFmtId="0" fontId="0" fillId="0" borderId="0" xfId="0" applyFont="1" applyFill="1" applyAlignment="1"/>
    <xf numFmtId="3" fontId="0" fillId="0" borderId="0" xfId="0" applyNumberFormat="1" applyFont="1" applyAlignment="1"/>
    <xf numFmtId="3" fontId="34" fillId="0" borderId="0" xfId="0" quotePrefix="1" applyNumberFormat="1" applyFont="1"/>
    <xf numFmtId="165" fontId="0" fillId="0" borderId="0" xfId="1" applyNumberFormat="1" applyFont="1" applyAlignment="1"/>
    <xf numFmtId="0" fontId="34" fillId="0" borderId="0" xfId="0" applyFont="1" applyAlignment="1"/>
    <xf numFmtId="165" fontId="62" fillId="0" borderId="0" xfId="1" applyNumberFormat="1" applyFont="1" applyAlignment="1"/>
    <xf numFmtId="165" fontId="0" fillId="0" borderId="0" xfId="0" applyNumberFormat="1" applyFont="1" applyAlignment="1"/>
    <xf numFmtId="3" fontId="31" fillId="0" borderId="0" xfId="0" applyNumberFormat="1" applyFont="1" applyAlignment="1"/>
    <xf numFmtId="165" fontId="62" fillId="0" borderId="0" xfId="0" applyNumberFormat="1" applyFont="1" applyAlignment="1"/>
    <xf numFmtId="0" fontId="0" fillId="0" borderId="0" xfId="0" applyFont="1" applyAlignment="1">
      <alignment horizontal="center"/>
    </xf>
    <xf numFmtId="166" fontId="0" fillId="0" borderId="0" xfId="3" applyNumberFormat="1" applyFont="1"/>
    <xf numFmtId="165" fontId="0" fillId="0" borderId="0" xfId="0" applyNumberFormat="1" applyAlignment="1">
      <alignment horizontal="left"/>
    </xf>
    <xf numFmtId="1" fontId="0" fillId="5" borderId="0" xfId="0" applyNumberFormat="1" applyFill="1"/>
    <xf numFmtId="0" fontId="31" fillId="0" borderId="0" xfId="0" applyFont="1" applyAlignment="1">
      <alignment horizontal="center"/>
    </xf>
    <xf numFmtId="0" fontId="14" fillId="0" borderId="1" xfId="0" applyFont="1" applyFill="1" applyBorder="1" applyAlignment="1"/>
    <xf numFmtId="165" fontId="0" fillId="0" borderId="17" xfId="0" applyNumberFormat="1" applyBorder="1" applyAlignment="1">
      <alignment wrapText="1"/>
    </xf>
    <xf numFmtId="0" fontId="59" fillId="0" borderId="43" xfId="8" applyFont="1" applyBorder="1" applyAlignment="1"/>
    <xf numFmtId="0" fontId="59" fillId="0" borderId="43" xfId="8" applyFont="1" applyBorder="1" applyAlignment="1">
      <alignment horizontal="center"/>
    </xf>
    <xf numFmtId="43" fontId="59" fillId="0" borderId="43" xfId="8" applyNumberFormat="1" applyFont="1" applyBorder="1" applyAlignment="1"/>
    <xf numFmtId="43" fontId="59" fillId="0" borderId="43" xfId="8" applyNumberFormat="1" applyFont="1" applyBorder="1" applyAlignment="1">
      <alignment horizontal="center"/>
    </xf>
    <xf numFmtId="0" fontId="14" fillId="0" borderId="43" xfId="8" applyFont="1" applyBorder="1" applyAlignment="1"/>
    <xf numFmtId="0" fontId="14" fillId="0" borderId="40" xfId="8" applyFont="1" applyBorder="1" applyAlignment="1"/>
    <xf numFmtId="0" fontId="63" fillId="0" borderId="43" xfId="8" applyFont="1" applyBorder="1" applyAlignment="1">
      <alignment wrapText="1"/>
    </xf>
    <xf numFmtId="0" fontId="59" fillId="0" borderId="43" xfId="8" applyFont="1" applyBorder="1" applyAlignment="1">
      <alignment wrapText="1"/>
    </xf>
    <xf numFmtId="0" fontId="19" fillId="0" borderId="0" xfId="0" applyFont="1" applyFill="1"/>
    <xf numFmtId="0" fontId="4" fillId="0" borderId="7" xfId="0" applyFont="1" applyFill="1" applyBorder="1" applyAlignment="1">
      <alignment vertical="center"/>
    </xf>
    <xf numFmtId="10" fontId="0" fillId="0" borderId="0" xfId="0" applyNumberFormat="1"/>
    <xf numFmtId="165" fontId="2" fillId="11" borderId="6" xfId="1" applyNumberFormat="1" applyFont="1" applyFill="1" applyBorder="1"/>
    <xf numFmtId="165" fontId="0" fillId="4" borderId="11" xfId="1" applyNumberFormat="1" applyFont="1" applyFill="1" applyBorder="1"/>
    <xf numFmtId="0" fontId="0" fillId="0" borderId="0" xfId="0" applyAlignment="1">
      <alignment horizontal="center"/>
    </xf>
    <xf numFmtId="1" fontId="0" fillId="0" borderId="0" xfId="0" applyNumberFormat="1" applyFill="1"/>
    <xf numFmtId="166" fontId="0" fillId="0" borderId="0" xfId="3" applyNumberFormat="1" applyFont="1" applyFill="1"/>
    <xf numFmtId="1" fontId="31" fillId="0" borderId="0" xfId="0" applyNumberFormat="1" applyFont="1" applyFill="1"/>
    <xf numFmtId="41" fontId="0" fillId="5" borderId="0" xfId="0" applyNumberFormat="1" applyFill="1"/>
    <xf numFmtId="165" fontId="0" fillId="19" borderId="10" xfId="0" applyNumberFormat="1" applyFill="1" applyBorder="1"/>
    <xf numFmtId="0" fontId="0" fillId="0" borderId="0" xfId="0" applyAlignment="1">
      <alignment wrapText="1"/>
    </xf>
    <xf numFmtId="0" fontId="0" fillId="0" borderId="0" xfId="0" applyAlignment="1">
      <alignment horizontal="center"/>
    </xf>
    <xf numFmtId="0" fontId="4" fillId="11" borderId="1" xfId="0" applyFont="1" applyFill="1" applyBorder="1" applyAlignment="1">
      <alignment vertical="center" wrapText="1"/>
    </xf>
    <xf numFmtId="0" fontId="0" fillId="12" borderId="28" xfId="0" applyFill="1" applyBorder="1" applyAlignment="1">
      <alignment wrapText="1"/>
    </xf>
    <xf numFmtId="0" fontId="0" fillId="12" borderId="15" xfId="0" applyFill="1" applyBorder="1" applyAlignment="1">
      <alignment wrapText="1"/>
    </xf>
    <xf numFmtId="0" fontId="0" fillId="0" borderId="1" xfId="0" applyBorder="1" applyAlignment="1"/>
    <xf numFmtId="165" fontId="14" fillId="0" borderId="1" xfId="1" applyNumberFormat="1" applyFont="1" applyFill="1" applyBorder="1"/>
    <xf numFmtId="0" fontId="4" fillId="5" borderId="1" xfId="0" applyFont="1" applyFill="1" applyBorder="1" applyAlignment="1">
      <alignment horizontal="right"/>
    </xf>
    <xf numFmtId="0" fontId="11" fillId="0" borderId="0" xfId="0" applyFont="1"/>
    <xf numFmtId="43" fontId="0" fillId="0" borderId="0" xfId="1" applyFont="1" applyAlignment="1"/>
    <xf numFmtId="43" fontId="0" fillId="0" borderId="0" xfId="0" applyNumberFormat="1" applyFont="1" applyAlignment="1"/>
    <xf numFmtId="43" fontId="0" fillId="0" borderId="10" xfId="1" applyFont="1" applyBorder="1" applyAlignment="1"/>
    <xf numFmtId="0" fontId="39" fillId="0" borderId="0" xfId="0" applyFont="1" applyAlignment="1">
      <alignment horizontal="center"/>
    </xf>
    <xf numFmtId="0" fontId="0" fillId="0" borderId="0" xfId="0" applyFill="1" applyBorder="1" applyAlignment="1">
      <alignment horizontal="right"/>
    </xf>
    <xf numFmtId="0" fontId="63" fillId="0" borderId="0" xfId="0" applyFont="1" applyFill="1" applyBorder="1" applyAlignment="1">
      <alignment horizontal="right"/>
    </xf>
    <xf numFmtId="165" fontId="63" fillId="0" borderId="0" xfId="0" applyNumberFormat="1" applyFont="1" applyFill="1" applyBorder="1"/>
    <xf numFmtId="165" fontId="63" fillId="0" borderId="0" xfId="53" applyNumberFormat="1" applyFont="1" applyFill="1" applyBorder="1"/>
    <xf numFmtId="0" fontId="0" fillId="0" borderId="1" xfId="0" applyBorder="1" applyAlignment="1">
      <alignment horizontal="left" vertical="top" wrapText="1"/>
    </xf>
    <xf numFmtId="10" fontId="6" fillId="5" borderId="0" xfId="0" applyNumberFormat="1" applyFont="1" applyFill="1" applyBorder="1"/>
    <xf numFmtId="165" fontId="0" fillId="0" borderId="0" xfId="0" applyNumberFormat="1" applyFill="1" applyBorder="1"/>
    <xf numFmtId="165" fontId="61" fillId="0" borderId="0" xfId="0" applyNumberFormat="1" applyFont="1" applyFill="1" applyBorder="1"/>
    <xf numFmtId="0" fontId="0" fillId="58" borderId="22" xfId="0" applyFill="1" applyBorder="1" applyAlignment="1">
      <alignment horizontal="center" wrapText="1"/>
    </xf>
    <xf numFmtId="165" fontId="62" fillId="58" borderId="21" xfId="0" applyNumberFormat="1" applyFont="1" applyFill="1" applyBorder="1"/>
    <xf numFmtId="165" fontId="0" fillId="58" borderId="21" xfId="0" applyNumberFormat="1" applyFill="1" applyBorder="1"/>
    <xf numFmtId="0" fontId="0" fillId="0" borderId="0" xfId="0" applyFill="1" applyBorder="1" applyAlignment="1">
      <alignment vertical="top" wrapText="1"/>
    </xf>
    <xf numFmtId="0" fontId="0" fillId="55" borderId="0" xfId="0" applyFill="1"/>
    <xf numFmtId="0" fontId="14" fillId="0" borderId="1" xfId="0" applyFont="1" applyBorder="1"/>
    <xf numFmtId="0" fontId="2" fillId="0" borderId="0" xfId="0" applyFont="1"/>
    <xf numFmtId="0" fontId="30" fillId="16" borderId="0" xfId="0" applyFont="1" applyFill="1"/>
    <xf numFmtId="0" fontId="11" fillId="16" borderId="0" xfId="0" applyFont="1" applyFill="1" applyAlignment="1">
      <alignment wrapText="1"/>
    </xf>
    <xf numFmtId="0" fontId="11" fillId="0" borderId="0" xfId="0" applyFont="1" applyAlignment="1">
      <alignment wrapText="1"/>
    </xf>
    <xf numFmtId="0" fontId="58" fillId="0" borderId="1" xfId="0" applyFont="1" applyBorder="1" applyAlignment="1">
      <alignment wrapText="1"/>
    </xf>
    <xf numFmtId="0" fontId="12" fillId="0" borderId="0" xfId="0" applyFont="1" applyAlignment="1">
      <alignment wrapText="1"/>
    </xf>
    <xf numFmtId="0" fontId="14" fillId="0" borderId="43" xfId="114" applyFont="1" applyBorder="1" applyAlignment="1"/>
    <xf numFmtId="0" fontId="0" fillId="0" borderId="1" xfId="0" applyBorder="1" applyAlignment="1">
      <alignment vertical="center" wrapText="1"/>
    </xf>
    <xf numFmtId="0" fontId="0" fillId="0" borderId="0" xfId="0" applyAlignment="1">
      <alignment wrapText="1"/>
    </xf>
    <xf numFmtId="0" fontId="0" fillId="0" borderId="0" xfId="0" applyFill="1" applyAlignment="1">
      <alignment horizontal="left"/>
    </xf>
    <xf numFmtId="0" fontId="0" fillId="0" borderId="5" xfId="0" applyFont="1" applyBorder="1" applyAlignment="1">
      <alignment wrapText="1"/>
    </xf>
    <xf numFmtId="0" fontId="0" fillId="0" borderId="7" xfId="0" applyBorder="1"/>
    <xf numFmtId="165" fontId="0" fillId="0" borderId="21" xfId="1" applyNumberFormat="1" applyFont="1" applyFill="1" applyBorder="1"/>
    <xf numFmtId="0" fontId="14" fillId="0" borderId="1" xfId="0" applyFont="1" applyBorder="1" applyAlignment="1">
      <alignment wrapText="1"/>
    </xf>
    <xf numFmtId="165" fontId="0" fillId="0" borderId="0" xfId="0" applyNumberFormat="1" applyFill="1" applyAlignment="1"/>
    <xf numFmtId="165" fontId="0" fillId="19" borderId="45" xfId="0" applyNumberFormat="1" applyFill="1" applyBorder="1"/>
    <xf numFmtId="165" fontId="0" fillId="61" borderId="0" xfId="0" applyNumberFormat="1" applyFill="1"/>
    <xf numFmtId="165" fontId="0" fillId="61" borderId="10" xfId="0" applyNumberFormat="1" applyFill="1" applyBorder="1"/>
    <xf numFmtId="165" fontId="0" fillId="61" borderId="45" xfId="0" applyNumberFormat="1" applyFill="1" applyBorder="1"/>
    <xf numFmtId="0" fontId="12" fillId="16" borderId="48" xfId="0" applyFont="1" applyFill="1" applyBorder="1"/>
    <xf numFmtId="0" fontId="12" fillId="16" borderId="50" xfId="0" applyFont="1" applyFill="1" applyBorder="1"/>
    <xf numFmtId="0" fontId="26" fillId="16" borderId="0" xfId="0" applyFont="1" applyFill="1"/>
    <xf numFmtId="0" fontId="12" fillId="14" borderId="52" xfId="0" applyFont="1" applyFill="1" applyBorder="1"/>
    <xf numFmtId="165" fontId="12" fillId="14" borderId="6" xfId="0" applyNumberFormat="1" applyFont="1" applyFill="1" applyBorder="1"/>
    <xf numFmtId="0" fontId="12" fillId="16" borderId="7" xfId="0" applyFont="1" applyFill="1" applyBorder="1"/>
    <xf numFmtId="0" fontId="12" fillId="16" borderId="0" xfId="0" applyFont="1" applyFill="1"/>
    <xf numFmtId="0" fontId="12" fillId="14" borderId="49" xfId="0" applyFont="1" applyFill="1" applyBorder="1"/>
    <xf numFmtId="165" fontId="12" fillId="14" borderId="8" xfId="0" applyNumberFormat="1" applyFont="1" applyFill="1" applyBorder="1"/>
    <xf numFmtId="0" fontId="12" fillId="14" borderId="51" xfId="0" applyFont="1" applyFill="1" applyBorder="1"/>
    <xf numFmtId="165" fontId="12" fillId="14" borderId="11" xfId="0" applyNumberFormat="1" applyFont="1" applyFill="1" applyBorder="1"/>
    <xf numFmtId="10" fontId="12" fillId="14" borderId="11" xfId="0" applyNumberFormat="1" applyFont="1" applyFill="1" applyBorder="1"/>
    <xf numFmtId="0" fontId="12" fillId="16" borderId="49" xfId="0" applyFont="1" applyFill="1" applyBorder="1"/>
    <xf numFmtId="0" fontId="12" fillId="16" borderId="49" xfId="0" applyFont="1" applyFill="1" applyBorder="1" applyAlignment="1">
      <alignment horizontal="left"/>
    </xf>
    <xf numFmtId="0" fontId="12" fillId="16" borderId="0" xfId="0" applyFont="1" applyFill="1" applyAlignment="1">
      <alignment horizontal="left"/>
    </xf>
    <xf numFmtId="0" fontId="26" fillId="16" borderId="49" xfId="0" applyFont="1" applyFill="1" applyBorder="1"/>
    <xf numFmtId="0" fontId="13" fillId="16" borderId="49" xfId="0" applyFont="1" applyFill="1" applyBorder="1"/>
    <xf numFmtId="0" fontId="12" fillId="16" borderId="53" xfId="0" applyFont="1" applyFill="1" applyBorder="1"/>
    <xf numFmtId="0" fontId="12" fillId="16" borderId="54" xfId="0" applyFont="1" applyFill="1" applyBorder="1"/>
    <xf numFmtId="0" fontId="12" fillId="16" borderId="54" xfId="0" applyFont="1" applyFill="1" applyBorder="1" applyAlignment="1">
      <alignment horizontal="center"/>
    </xf>
    <xf numFmtId="0" fontId="12" fillId="0" borderId="55" xfId="0" applyFont="1" applyBorder="1"/>
    <xf numFmtId="0" fontId="19" fillId="0" borderId="0" xfId="0" applyFont="1"/>
    <xf numFmtId="0" fontId="59" fillId="0" borderId="0" xfId="0" applyFont="1"/>
    <xf numFmtId="0" fontId="59" fillId="0" borderId="0" xfId="0" applyFont="1" applyAlignment="1">
      <alignment horizontal="center"/>
    </xf>
    <xf numFmtId="0" fontId="59" fillId="0" borderId="0" xfId="0" applyFont="1" applyAlignment="1">
      <alignment wrapText="1"/>
    </xf>
    <xf numFmtId="0" fontId="59" fillId="62" borderId="48" xfId="0" applyFont="1" applyFill="1" applyBorder="1"/>
    <xf numFmtId="0" fontId="59" fillId="62" borderId="50" xfId="0" applyFont="1" applyFill="1" applyBorder="1"/>
    <xf numFmtId="0" fontId="75" fillId="62" borderId="0" xfId="0" applyFont="1" applyFill="1"/>
    <xf numFmtId="0" fontId="59" fillId="63" borderId="52" xfId="0" applyFont="1" applyFill="1" applyBorder="1"/>
    <xf numFmtId="165" fontId="59" fillId="63" borderId="6" xfId="0" applyNumberFormat="1" applyFont="1" applyFill="1" applyBorder="1"/>
    <xf numFmtId="0" fontId="59" fillId="62" borderId="7" xfId="0" applyFont="1" applyFill="1" applyBorder="1"/>
    <xf numFmtId="0" fontId="59" fillId="62" borderId="0" xfId="0" applyFont="1" applyFill="1"/>
    <xf numFmtId="0" fontId="59" fillId="63" borderId="49" xfId="0" applyFont="1" applyFill="1" applyBorder="1"/>
    <xf numFmtId="165" fontId="59" fillId="63" borderId="8" xfId="0" applyNumberFormat="1" applyFont="1" applyFill="1" applyBorder="1"/>
    <xf numFmtId="0" fontId="59" fillId="63" borderId="51" xfId="0" applyFont="1" applyFill="1" applyBorder="1"/>
    <xf numFmtId="165" fontId="59" fillId="63" borderId="11" xfId="0" applyNumberFormat="1" applyFont="1" applyFill="1" applyBorder="1"/>
    <xf numFmtId="9" fontId="59" fillId="63" borderId="11" xfId="3" applyFont="1" applyFill="1" applyBorder="1"/>
    <xf numFmtId="0" fontId="59" fillId="62" borderId="49" xfId="0" applyFont="1" applyFill="1" applyBorder="1"/>
    <xf numFmtId="0" fontId="59" fillId="62" borderId="0" xfId="0" applyFont="1" applyFill="1" applyAlignment="1">
      <alignment horizontal="center"/>
    </xf>
    <xf numFmtId="0" fontId="59" fillId="62" borderId="49" xfId="0" applyFont="1" applyFill="1" applyBorder="1" applyAlignment="1">
      <alignment horizontal="left"/>
    </xf>
    <xf numFmtId="0" fontId="59" fillId="62" borderId="0" xfId="0" applyFont="1" applyFill="1" applyAlignment="1">
      <alignment horizontal="left"/>
    </xf>
    <xf numFmtId="0" fontId="75" fillId="62" borderId="49" xfId="0" applyFont="1" applyFill="1" applyBorder="1"/>
    <xf numFmtId="0" fontId="78" fillId="62" borderId="49" xfId="0" applyFont="1" applyFill="1" applyBorder="1"/>
    <xf numFmtId="0" fontId="59" fillId="62" borderId="53" xfId="0" applyFont="1" applyFill="1" applyBorder="1"/>
    <xf numFmtId="0" fontId="59" fillId="62" borderId="54" xfId="0" applyFont="1" applyFill="1" applyBorder="1"/>
    <xf numFmtId="0" fontId="59" fillId="62" borderId="54" xfId="0" applyFont="1" applyFill="1" applyBorder="1" applyAlignment="1">
      <alignment horizontal="center"/>
    </xf>
    <xf numFmtId="0" fontId="59" fillId="0" borderId="55" xfId="0" applyFont="1" applyBorder="1"/>
    <xf numFmtId="0" fontId="14" fillId="0" borderId="1" xfId="0" applyFont="1" applyBorder="1" applyAlignment="1">
      <alignment horizontal="center"/>
    </xf>
    <xf numFmtId="43" fontId="14" fillId="0" borderId="1" xfId="1" applyFont="1" applyBorder="1"/>
    <xf numFmtId="1" fontId="12" fillId="0" borderId="0" xfId="0" applyNumberFormat="1" applyFont="1"/>
    <xf numFmtId="0" fontId="11" fillId="0" borderId="1" xfId="0" applyFont="1" applyBorder="1" applyAlignment="1">
      <alignment vertical="top" wrapText="1"/>
    </xf>
    <xf numFmtId="0" fontId="14" fillId="0" borderId="12" xfId="0" applyFont="1" applyBorder="1"/>
    <xf numFmtId="0" fontId="7" fillId="0" borderId="1" xfId="0" applyFont="1" applyBorder="1" applyAlignment="1">
      <alignment vertical="top" wrapText="1"/>
    </xf>
    <xf numFmtId="0" fontId="14" fillId="0" borderId="43" xfId="8" applyFont="1" applyBorder="1" applyAlignment="1">
      <alignment wrapText="1"/>
    </xf>
    <xf numFmtId="0" fontId="0" fillId="0" borderId="43" xfId="0" applyBorder="1" applyAlignment="1">
      <alignment wrapText="1"/>
    </xf>
    <xf numFmtId="172" fontId="12" fillId="10" borderId="1" xfId="0" applyNumberFormat="1" applyFont="1" applyFill="1" applyBorder="1"/>
    <xf numFmtId="0" fontId="11" fillId="0" borderId="0" xfId="0" applyFont="1" applyFill="1" applyBorder="1" applyAlignment="1">
      <alignment vertical="top" wrapText="1"/>
    </xf>
    <xf numFmtId="0" fontId="12" fillId="0" borderId="1" xfId="0" applyFont="1" applyBorder="1" applyAlignment="1">
      <alignment horizontal="center"/>
    </xf>
    <xf numFmtId="42" fontId="12" fillId="55" borderId="1" xfId="0" applyNumberFormat="1" applyFont="1" applyFill="1" applyBorder="1"/>
    <xf numFmtId="0" fontId="7" fillId="0" borderId="1" xfId="0" applyFont="1" applyBorder="1"/>
    <xf numFmtId="0" fontId="34" fillId="0" borderId="43" xfId="113" applyFont="1" applyBorder="1" applyAlignment="1">
      <alignment horizontal="left" wrapText="1"/>
    </xf>
    <xf numFmtId="0" fontId="34" fillId="0" borderId="43" xfId="113" applyFont="1" applyBorder="1" applyAlignment="1">
      <alignment horizontal="center" wrapText="1"/>
    </xf>
    <xf numFmtId="0" fontId="34" fillId="0" borderId="43" xfId="113" applyFont="1" applyBorder="1" applyAlignment="1">
      <alignment horizontal="center"/>
    </xf>
    <xf numFmtId="3" fontId="34" fillId="0" borderId="43" xfId="113" applyNumberFormat="1" applyFont="1" applyBorder="1" applyAlignment="1">
      <alignment vertical="top"/>
    </xf>
    <xf numFmtId="3" fontId="34" fillId="0" borderId="43" xfId="113" applyNumberFormat="1" applyFont="1" applyBorder="1" applyAlignment="1">
      <alignment horizontal="center"/>
    </xf>
    <xf numFmtId="3" fontId="64" fillId="0" borderId="0" xfId="113" applyNumberFormat="1" applyFont="1"/>
    <xf numFmtId="0" fontId="64" fillId="0" borderId="0" xfId="113" applyFont="1"/>
    <xf numFmtId="0" fontId="35" fillId="0" borderId="43" xfId="113" applyFont="1" applyBorder="1" applyAlignment="1">
      <alignment horizontal="center" wrapText="1"/>
    </xf>
    <xf numFmtId="0" fontId="59" fillId="0" borderId="0" xfId="113"/>
    <xf numFmtId="0" fontId="14" fillId="0" borderId="43" xfId="114" applyFont="1" applyBorder="1"/>
    <xf numFmtId="0" fontId="12" fillId="16" borderId="50" xfId="0" applyFont="1" applyFill="1" applyBorder="1" applyAlignment="1">
      <alignment wrapText="1"/>
    </xf>
    <xf numFmtId="0" fontId="14" fillId="0" borderId="12" xfId="0" applyFont="1" applyBorder="1" applyAlignment="1">
      <alignment horizontal="center"/>
    </xf>
    <xf numFmtId="0" fontId="15" fillId="0" borderId="12" xfId="0" applyFont="1" applyBorder="1" applyAlignment="1">
      <alignment horizontal="right"/>
    </xf>
    <xf numFmtId="165" fontId="62" fillId="0" borderId="0" xfId="1" applyNumberFormat="1" applyFont="1"/>
    <xf numFmtId="165" fontId="26" fillId="65" borderId="0" xfId="0" applyNumberFormat="1" applyFont="1" applyFill="1"/>
    <xf numFmtId="0" fontId="12" fillId="65" borderId="0" xfId="0" applyFont="1" applyFill="1"/>
    <xf numFmtId="0" fontId="13" fillId="65" borderId="0" xfId="0" applyFont="1" applyFill="1" applyAlignment="1">
      <alignment horizontal="right"/>
    </xf>
    <xf numFmtId="0" fontId="14" fillId="0" borderId="12" xfId="0" applyFont="1" applyBorder="1" applyAlignment="1">
      <alignment wrapText="1"/>
    </xf>
    <xf numFmtId="0" fontId="12" fillId="0" borderId="12" xfId="0" applyFont="1" applyBorder="1"/>
    <xf numFmtId="0" fontId="14" fillId="0" borderId="9" xfId="0" applyFont="1" applyBorder="1"/>
    <xf numFmtId="0" fontId="14" fillId="0" borderId="9" xfId="0" applyFont="1" applyBorder="1" applyAlignment="1">
      <alignment horizontal="center"/>
    </xf>
    <xf numFmtId="0" fontId="4" fillId="0" borderId="9" xfId="0" applyFont="1" applyBorder="1"/>
    <xf numFmtId="0" fontId="4" fillId="0" borderId="9" xfId="0" applyFont="1" applyBorder="1" applyAlignment="1">
      <alignment horizontal="center"/>
    </xf>
    <xf numFmtId="0" fontId="14" fillId="0" borderId="0" xfId="9"/>
    <xf numFmtId="0" fontId="14" fillId="0" borderId="0" xfId="5" applyFont="1" applyFill="1" applyAlignment="1">
      <alignment wrapText="1"/>
    </xf>
    <xf numFmtId="0" fontId="0" fillId="0" borderId="0" xfId="0" applyAlignment="1">
      <alignment horizontal="center"/>
    </xf>
    <xf numFmtId="0" fontId="0" fillId="0" borderId="0" xfId="0" applyAlignment="1">
      <alignment horizontal="left"/>
    </xf>
    <xf numFmtId="165" fontId="30" fillId="0" borderId="1" xfId="1" applyNumberFormat="1" applyFont="1" applyBorder="1"/>
    <xf numFmtId="0" fontId="12" fillId="16" borderId="0" xfId="0" applyFont="1" applyFill="1" applyAlignment="1">
      <alignment horizontal="center"/>
    </xf>
    <xf numFmtId="0" fontId="0" fillId="0" borderId="0" xfId="0" applyAlignment="1">
      <alignment horizontal="center"/>
    </xf>
    <xf numFmtId="0" fontId="0" fillId="5" borderId="7" xfId="0" applyFill="1" applyBorder="1" applyAlignment="1">
      <alignment wrapText="1"/>
    </xf>
    <xf numFmtId="0" fontId="0" fillId="0" borderId="0" xfId="0" applyAlignment="1">
      <alignment horizontal="center"/>
    </xf>
    <xf numFmtId="165" fontId="26" fillId="55" borderId="0" xfId="0" applyNumberFormat="1" applyFont="1" applyFill="1"/>
    <xf numFmtId="42" fontId="0" fillId="55" borderId="0" xfId="0" applyNumberFormat="1" applyFill="1"/>
    <xf numFmtId="42" fontId="0" fillId="0" borderId="0" xfId="0" applyNumberFormat="1"/>
    <xf numFmtId="42" fontId="0" fillId="0" borderId="0" xfId="0" applyNumberFormat="1" applyAlignment="1">
      <alignment horizontal="center"/>
    </xf>
    <xf numFmtId="0" fontId="66" fillId="0" borderId="1" xfId="114" applyBorder="1" applyAlignment="1">
      <alignment wrapText="1"/>
    </xf>
    <xf numFmtId="0" fontId="12" fillId="16" borderId="0" xfId="0" applyFont="1" applyFill="1" applyAlignment="1">
      <alignment horizontal="center"/>
    </xf>
    <xf numFmtId="0" fontId="0" fillId="0" borderId="0" xfId="0" applyAlignment="1">
      <alignment horizontal="center"/>
    </xf>
    <xf numFmtId="0" fontId="7" fillId="0" borderId="1" xfId="0" applyFont="1" applyFill="1" applyBorder="1" applyAlignment="1">
      <alignment vertical="top" wrapText="1"/>
    </xf>
    <xf numFmtId="0" fontId="0" fillId="0" borderId="0" xfId="0" applyAlignment="1">
      <alignment horizontal="center" wrapText="1"/>
    </xf>
    <xf numFmtId="165" fontId="0" fillId="0" borderId="0" xfId="0" applyNumberFormat="1" applyAlignment="1">
      <alignment wrapText="1"/>
    </xf>
    <xf numFmtId="0" fontId="4" fillId="0" borderId="7" xfId="0" applyFont="1" applyFill="1" applyBorder="1" applyAlignment="1">
      <alignment horizontal="center"/>
    </xf>
    <xf numFmtId="164" fontId="82" fillId="11" borderId="5" xfId="0" applyNumberFormat="1" applyFont="1" applyFill="1" applyBorder="1" applyAlignment="1">
      <alignment horizontal="right"/>
    </xf>
    <xf numFmtId="0" fontId="82" fillId="11" borderId="6" xfId="0" applyFont="1" applyFill="1" applyBorder="1"/>
    <xf numFmtId="164" fontId="82" fillId="11" borderId="0" xfId="0" applyNumberFormat="1" applyFont="1" applyFill="1" applyAlignment="1">
      <alignment horizontal="right"/>
    </xf>
    <xf numFmtId="10" fontId="82" fillId="11" borderId="0" xfId="3" applyNumberFormat="1" applyFont="1" applyFill="1"/>
    <xf numFmtId="10" fontId="82" fillId="11" borderId="8" xfId="3" applyNumberFormat="1" applyFont="1" applyFill="1" applyBorder="1"/>
    <xf numFmtId="164" fontId="82" fillId="11" borderId="10" xfId="0" applyNumberFormat="1" applyFont="1" applyFill="1" applyBorder="1" applyAlignment="1">
      <alignment horizontal="right"/>
    </xf>
    <xf numFmtId="164" fontId="82" fillId="11" borderId="15" xfId="0" applyNumberFormat="1" applyFont="1" applyFill="1" applyBorder="1" applyAlignment="1">
      <alignment horizontal="right"/>
    </xf>
    <xf numFmtId="0" fontId="12" fillId="16" borderId="0" xfId="0" applyFont="1" applyFill="1" applyAlignment="1">
      <alignment horizontal="center"/>
    </xf>
    <xf numFmtId="0" fontId="0" fillId="0" borderId="0" xfId="0" applyAlignment="1">
      <alignment horizontal="center"/>
    </xf>
    <xf numFmtId="0" fontId="15" fillId="5" borderId="0" xfId="0" applyFont="1" applyFill="1" applyAlignment="1">
      <alignment horizontal="left" wrapText="1"/>
    </xf>
    <xf numFmtId="0" fontId="15" fillId="5" borderId="0" xfId="0" applyFont="1" applyFill="1" applyAlignment="1">
      <alignment horizontal="right" wrapText="1"/>
    </xf>
    <xf numFmtId="165" fontId="26" fillId="11" borderId="0" xfId="0" applyNumberFormat="1" applyFont="1" applyFill="1"/>
    <xf numFmtId="9" fontId="0" fillId="0" borderId="0" xfId="3" applyNumberFormat="1" applyFont="1"/>
    <xf numFmtId="0" fontId="4" fillId="16" borderId="0" xfId="0" applyFont="1" applyFill="1" applyAlignment="1">
      <alignment horizontal="right"/>
    </xf>
    <xf numFmtId="42" fontId="4" fillId="0" borderId="0" xfId="0" applyNumberFormat="1" applyFont="1"/>
    <xf numFmtId="0" fontId="14" fillId="0" borderId="12" xfId="0" applyFont="1" applyBorder="1" applyAlignment="1">
      <alignment vertical="center"/>
    </xf>
    <xf numFmtId="0" fontId="14" fillId="0" borderId="1"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16" borderId="48" xfId="0" applyFont="1" applyFill="1" applyBorder="1" applyAlignment="1">
      <alignment vertical="center"/>
    </xf>
    <xf numFmtId="0" fontId="12" fillId="16" borderId="50" xfId="0" applyFont="1" applyFill="1" applyBorder="1" applyAlignment="1">
      <alignment vertical="center"/>
    </xf>
    <xf numFmtId="0" fontId="26" fillId="16" borderId="0" xfId="0" applyFont="1" applyFill="1" applyAlignment="1">
      <alignment vertical="center"/>
    </xf>
    <xf numFmtId="0" fontId="12" fillId="14" borderId="52" xfId="0" applyFont="1" applyFill="1" applyBorder="1" applyAlignment="1">
      <alignment vertical="center"/>
    </xf>
    <xf numFmtId="165" fontId="12" fillId="14" borderId="6" xfId="0" applyNumberFormat="1" applyFont="1" applyFill="1" applyBorder="1" applyAlignment="1">
      <alignment vertical="center"/>
    </xf>
    <xf numFmtId="0" fontId="12" fillId="16" borderId="7" xfId="0" applyFont="1" applyFill="1" applyBorder="1" applyAlignment="1">
      <alignment vertical="center"/>
    </xf>
    <xf numFmtId="0" fontId="12" fillId="16" borderId="0" xfId="0" applyFont="1" applyFill="1" applyAlignment="1">
      <alignment vertical="center"/>
    </xf>
    <xf numFmtId="0" fontId="12" fillId="14" borderId="49" xfId="0" applyFont="1" applyFill="1" applyBorder="1" applyAlignment="1">
      <alignment vertical="center"/>
    </xf>
    <xf numFmtId="165" fontId="12" fillId="14" borderId="8" xfId="0" applyNumberFormat="1" applyFont="1" applyFill="1" applyBorder="1" applyAlignment="1">
      <alignment vertical="center"/>
    </xf>
    <xf numFmtId="0" fontId="12" fillId="14" borderId="51" xfId="0" applyFont="1" applyFill="1" applyBorder="1" applyAlignment="1">
      <alignment vertical="center"/>
    </xf>
    <xf numFmtId="165" fontId="12" fillId="14" borderId="11" xfId="0" applyNumberFormat="1" applyFont="1" applyFill="1" applyBorder="1" applyAlignment="1">
      <alignment vertical="center"/>
    </xf>
    <xf numFmtId="10" fontId="12" fillId="14" borderId="11" xfId="0" applyNumberFormat="1" applyFont="1" applyFill="1" applyBorder="1" applyAlignment="1">
      <alignment vertical="center"/>
    </xf>
    <xf numFmtId="0" fontId="12" fillId="16" borderId="49" xfId="0" applyFont="1" applyFill="1" applyBorder="1" applyAlignment="1">
      <alignment vertical="center"/>
    </xf>
    <xf numFmtId="0" fontId="12" fillId="16" borderId="0" xfId="0" applyFont="1" applyFill="1" applyAlignment="1">
      <alignment horizontal="center" vertical="center"/>
    </xf>
    <xf numFmtId="0" fontId="12" fillId="16" borderId="49" xfId="0" applyFont="1" applyFill="1" applyBorder="1" applyAlignment="1">
      <alignment horizontal="left" vertical="center"/>
    </xf>
    <xf numFmtId="0" fontId="12" fillId="16" borderId="0" xfId="0" applyFont="1" applyFill="1" applyAlignment="1">
      <alignment horizontal="left" vertical="center"/>
    </xf>
    <xf numFmtId="0" fontId="26" fillId="16" borderId="49" xfId="0" applyFont="1" applyFill="1" applyBorder="1" applyAlignment="1">
      <alignment vertical="center"/>
    </xf>
    <xf numFmtId="0" fontId="13" fillId="16" borderId="49" xfId="0" applyFont="1" applyFill="1" applyBorder="1" applyAlignment="1">
      <alignment vertical="center"/>
    </xf>
    <xf numFmtId="0" fontId="12" fillId="16" borderId="53" xfId="0" applyFont="1" applyFill="1" applyBorder="1" applyAlignment="1">
      <alignment vertical="center"/>
    </xf>
    <xf numFmtId="0" fontId="12" fillId="16" borderId="54" xfId="0" applyFont="1" applyFill="1" applyBorder="1" applyAlignment="1">
      <alignment vertical="center"/>
    </xf>
    <xf numFmtId="0" fontId="12" fillId="16" borderId="54" xfId="0" applyFont="1" applyFill="1" applyBorder="1" applyAlignment="1">
      <alignment horizontal="center" vertical="center"/>
    </xf>
    <xf numFmtId="0" fontId="12" fillId="0" borderId="55" xfId="0" applyFont="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83" fillId="0" borderId="1" xfId="0" applyFont="1" applyBorder="1" applyAlignment="1">
      <alignment wrapText="1"/>
    </xf>
    <xf numFmtId="0" fontId="63" fillId="0" borderId="1" xfId="114" applyFont="1" applyBorder="1" applyAlignment="1">
      <alignment wrapText="1"/>
    </xf>
    <xf numFmtId="0" fontId="66" fillId="0" borderId="56" xfId="114" applyBorder="1" applyAlignment="1">
      <alignment wrapText="1"/>
    </xf>
    <xf numFmtId="42" fontId="14" fillId="9" borderId="1" xfId="0" applyNumberFormat="1" applyFont="1" applyFill="1" applyBorder="1"/>
    <xf numFmtId="0" fontId="4" fillId="12" borderId="1" xfId="0" applyFont="1" applyFill="1" applyBorder="1" applyAlignment="1">
      <alignment horizontal="left" vertical="center" wrapText="1"/>
    </xf>
    <xf numFmtId="0" fontId="14" fillId="0" borderId="43" xfId="8" applyBorder="1" applyAlignment="1">
      <alignment wrapText="1"/>
    </xf>
    <xf numFmtId="0" fontId="66" fillId="0" borderId="43" xfId="114" applyBorder="1" applyAlignment="1">
      <alignment wrapText="1"/>
    </xf>
    <xf numFmtId="0" fontId="59" fillId="66" borderId="52" xfId="0" applyFont="1" applyFill="1" applyBorder="1"/>
    <xf numFmtId="165" fontId="59" fillId="66" borderId="8" xfId="0" applyNumberFormat="1" applyFont="1" applyFill="1" applyBorder="1"/>
    <xf numFmtId="0" fontId="59" fillId="66" borderId="49" xfId="0" applyFont="1" applyFill="1" applyBorder="1"/>
    <xf numFmtId="3" fontId="59" fillId="66" borderId="8" xfId="0" applyNumberFormat="1" applyFont="1" applyFill="1" applyBorder="1"/>
    <xf numFmtId="0" fontId="59" fillId="66" borderId="51" xfId="0" applyFont="1" applyFill="1" applyBorder="1"/>
    <xf numFmtId="3" fontId="59" fillId="66" borderId="11" xfId="0" applyNumberFormat="1" applyFont="1" applyFill="1" applyBorder="1"/>
    <xf numFmtId="10" fontId="59" fillId="66" borderId="11" xfId="0" applyNumberFormat="1" applyFont="1" applyFill="1" applyBorder="1"/>
    <xf numFmtId="0" fontId="59" fillId="0" borderId="49" xfId="0" applyFont="1" applyBorder="1"/>
    <xf numFmtId="0" fontId="83" fillId="0" borderId="0" xfId="0" applyFont="1"/>
    <xf numFmtId="0" fontId="83" fillId="0" borderId="0" xfId="0" applyFont="1" applyAlignment="1">
      <alignment horizontal="center"/>
    </xf>
    <xf numFmtId="43" fontId="12" fillId="0" borderId="12" xfId="1" applyFont="1" applyFill="1" applyBorder="1" applyAlignment="1">
      <alignment horizontal="center"/>
    </xf>
    <xf numFmtId="0" fontId="12" fillId="16" borderId="0" xfId="0" applyFont="1" applyFill="1" applyAlignment="1">
      <alignment horizontal="center"/>
    </xf>
    <xf numFmtId="0" fontId="0" fillId="0" borderId="0" xfId="0" applyAlignment="1">
      <alignment horizontal="center"/>
    </xf>
    <xf numFmtId="0" fontId="0" fillId="0" borderId="0" xfId="0" applyAlignment="1">
      <alignment wrapText="1"/>
    </xf>
    <xf numFmtId="0" fontId="12" fillId="16" borderId="0" xfId="0" applyFont="1" applyFill="1" applyAlignment="1">
      <alignment horizontal="center"/>
    </xf>
    <xf numFmtId="0" fontId="0" fillId="0" borderId="0" xfId="0" applyAlignment="1">
      <alignment horizontal="center"/>
    </xf>
    <xf numFmtId="9" fontId="7" fillId="0" borderId="1" xfId="0" applyNumberFormat="1" applyFont="1" applyBorder="1" applyAlignment="1">
      <alignment horizontal="left" wrapText="1"/>
    </xf>
    <xf numFmtId="0" fontId="12" fillId="16" borderId="0" xfId="0" applyFont="1" applyFill="1" applyAlignment="1">
      <alignment horizontal="center"/>
    </xf>
    <xf numFmtId="0" fontId="0" fillId="0" borderId="0" xfId="0" applyAlignment="1">
      <alignment horizontal="center"/>
    </xf>
    <xf numFmtId="0" fontId="0" fillId="0" borderId="0" xfId="0" applyAlignment="1">
      <alignment wrapText="1"/>
    </xf>
    <xf numFmtId="0" fontId="12" fillId="16" borderId="0" xfId="0" applyFont="1" applyFill="1" applyAlignment="1">
      <alignment horizontal="center" vertical="center"/>
    </xf>
    <xf numFmtId="0" fontId="12" fillId="16" borderId="0" xfId="0" applyFont="1" applyFill="1" applyAlignment="1">
      <alignment horizontal="center"/>
    </xf>
    <xf numFmtId="0" fontId="75" fillId="62" borderId="0" xfId="0" applyFont="1" applyFill="1" applyAlignment="1">
      <alignment horizontal="left" vertical="top"/>
    </xf>
    <xf numFmtId="0" fontId="0" fillId="0" borderId="0" xfId="0" applyAlignment="1">
      <alignment horizontal="center"/>
    </xf>
    <xf numFmtId="0" fontId="7" fillId="0" borderId="1" xfId="0" applyFont="1" applyBorder="1" applyAlignment="1">
      <alignment vertical="center" wrapText="1"/>
    </xf>
    <xf numFmtId="0" fontId="69" fillId="0" borderId="0" xfId="0" applyFont="1" applyAlignment="1">
      <alignment vertical="center" wrapText="1"/>
    </xf>
    <xf numFmtId="0" fontId="25" fillId="0" borderId="1" xfId="0" applyFont="1" applyBorder="1" applyAlignment="1">
      <alignment vertical="center" wrapText="1"/>
    </xf>
    <xf numFmtId="0" fontId="4" fillId="11" borderId="1" xfId="0" applyFont="1" applyFill="1" applyBorder="1" applyAlignment="1">
      <alignment vertical="center"/>
    </xf>
    <xf numFmtId="0" fontId="12" fillId="0" borderId="50" xfId="0" applyFont="1" applyFill="1" applyBorder="1"/>
    <xf numFmtId="0" fontId="12" fillId="0" borderId="49" xfId="0" applyFont="1" applyFill="1" applyBorder="1" applyAlignment="1">
      <alignment horizontal="left"/>
    </xf>
    <xf numFmtId="0" fontId="12" fillId="0" borderId="0" xfId="0" applyFont="1" applyFill="1" applyAlignment="1">
      <alignment horizontal="left"/>
    </xf>
    <xf numFmtId="0" fontId="26" fillId="0" borderId="49" xfId="0" applyFont="1" applyFill="1" applyBorder="1"/>
    <xf numFmtId="0" fontId="12" fillId="0" borderId="0" xfId="0" applyFont="1" applyFill="1"/>
    <xf numFmtId="0" fontId="12" fillId="0" borderId="0" xfId="0" applyFont="1" applyFill="1" applyAlignment="1">
      <alignment horizontal="center"/>
    </xf>
    <xf numFmtId="0" fontId="12" fillId="0" borderId="49" xfId="0" applyFont="1" applyFill="1" applyBorder="1"/>
    <xf numFmtId="0" fontId="13" fillId="0" borderId="49" xfId="0" applyFont="1" applyFill="1" applyBorder="1"/>
    <xf numFmtId="0" fontId="12" fillId="0" borderId="53" xfId="0" applyFont="1" applyFill="1" applyBorder="1"/>
    <xf numFmtId="0" fontId="12" fillId="0" borderId="54" xfId="0" applyFont="1" applyFill="1" applyBorder="1"/>
    <xf numFmtId="0" fontId="12" fillId="0" borderId="54" xfId="0" applyFont="1" applyFill="1" applyBorder="1" applyAlignment="1">
      <alignment horizontal="center"/>
    </xf>
    <xf numFmtId="0" fontId="12" fillId="0" borderId="55" xfId="0" applyFont="1" applyFill="1" applyBorder="1"/>
    <xf numFmtId="0" fontId="12" fillId="0" borderId="0" xfId="0" applyFont="1" applyFill="1" applyAlignment="1">
      <alignment wrapText="1"/>
    </xf>
    <xf numFmtId="0" fontId="26" fillId="0" borderId="0" xfId="0" applyFont="1" applyFill="1" applyAlignment="1">
      <alignment horizontal="left" vertical="top"/>
    </xf>
    <xf numFmtId="0" fontId="12" fillId="16" borderId="0" xfId="0" applyFont="1" applyFill="1" applyAlignment="1">
      <alignment horizontal="center"/>
    </xf>
    <xf numFmtId="0" fontId="0" fillId="0" borderId="0" xfId="0" applyAlignment="1">
      <alignment horizontal="center"/>
    </xf>
    <xf numFmtId="0" fontId="12" fillId="16" borderId="0" xfId="0" applyFont="1" applyFill="1" applyAlignment="1">
      <alignment horizontal="center"/>
    </xf>
    <xf numFmtId="0" fontId="0" fillId="0" borderId="0" xfId="0" applyAlignment="1">
      <alignment horizontal="center"/>
    </xf>
    <xf numFmtId="0" fontId="0" fillId="0" borderId="0" xfId="0" applyAlignment="1">
      <alignment wrapText="1"/>
    </xf>
    <xf numFmtId="0" fontId="6" fillId="8" borderId="1" xfId="0" applyFont="1" applyFill="1" applyBorder="1" applyAlignment="1">
      <alignment horizontal="right" wrapText="1"/>
    </xf>
    <xf numFmtId="14" fontId="14" fillId="0" borderId="0" xfId="9" applyNumberFormat="1" applyAlignment="1">
      <alignment vertical="top"/>
    </xf>
    <xf numFmtId="0" fontId="14" fillId="0" borderId="0" xfId="9" applyAlignment="1">
      <alignment wrapText="1"/>
    </xf>
    <xf numFmtId="14" fontId="14" fillId="0" borderId="0" xfId="9" applyNumberFormat="1" applyFill="1" applyAlignment="1">
      <alignment vertical="top"/>
    </xf>
    <xf numFmtId="14" fontId="14" fillId="0" borderId="0" xfId="9" applyNumberFormat="1" applyFill="1" applyAlignment="1">
      <alignment horizontal="right"/>
    </xf>
    <xf numFmtId="0" fontId="12" fillId="16" borderId="0" xfId="0" applyFont="1" applyFill="1" applyAlignment="1">
      <alignment horizontal="center"/>
    </xf>
    <xf numFmtId="0" fontId="0" fillId="0" borderId="0" xfId="0" applyAlignment="1">
      <alignment horizontal="center"/>
    </xf>
    <xf numFmtId="165" fontId="0" fillId="5" borderId="0" xfId="0" applyNumberFormat="1" applyFill="1"/>
    <xf numFmtId="14" fontId="14" fillId="0" borderId="0" xfId="9" applyNumberFormat="1" applyFill="1" applyAlignment="1">
      <alignment horizontal="right" vertical="top"/>
    </xf>
    <xf numFmtId="14" fontId="14" fillId="0" borderId="0" xfId="5" applyNumberFormat="1" applyFont="1" applyFill="1" applyAlignment="1">
      <alignment horizontal="right"/>
    </xf>
    <xf numFmtId="0" fontId="14" fillId="0" borderId="0" xfId="9" applyFill="1" applyAlignment="1">
      <alignment wrapText="1"/>
    </xf>
    <xf numFmtId="14" fontId="17" fillId="0" borderId="0" xfId="5" applyNumberFormat="1" applyFill="1" applyAlignment="1">
      <alignment vertical="top"/>
    </xf>
    <xf numFmtId="14" fontId="14" fillId="0" borderId="0" xfId="5" applyNumberFormat="1" applyFont="1" applyFill="1" applyAlignment="1">
      <alignment horizontal="right" vertical="top"/>
    </xf>
    <xf numFmtId="165" fontId="30" fillId="0" borderId="1" xfId="1" applyNumberFormat="1" applyFont="1" applyFill="1" applyBorder="1"/>
    <xf numFmtId="0" fontId="12" fillId="16" borderId="0" xfId="0" applyFont="1" applyFill="1" applyAlignment="1">
      <alignment horizontal="center"/>
    </xf>
    <xf numFmtId="0" fontId="0" fillId="0" borderId="0" xfId="0" applyAlignment="1">
      <alignment horizontal="center"/>
    </xf>
    <xf numFmtId="0" fontId="12" fillId="0" borderId="0" xfId="0" applyFont="1" applyAlignment="1">
      <alignment horizontal="center" vertical="center"/>
    </xf>
    <xf numFmtId="14" fontId="14" fillId="0" borderId="0" xfId="9" applyNumberFormat="1" applyAlignment="1">
      <alignment horizontal="right"/>
    </xf>
    <xf numFmtId="0" fontId="24" fillId="0" borderId="15" xfId="0" applyFont="1" applyBorder="1" applyAlignment="1">
      <alignment horizontal="right"/>
    </xf>
    <xf numFmtId="0" fontId="5" fillId="0" borderId="1" xfId="0" applyFont="1" applyBorder="1" applyAlignment="1">
      <alignment wrapText="1"/>
    </xf>
    <xf numFmtId="165" fontId="12" fillId="0" borderId="1" xfId="1" applyNumberFormat="1" applyFont="1" applyFill="1" applyBorder="1" applyAlignment="1"/>
    <xf numFmtId="165" fontId="1" fillId="0" borderId="0" xfId="1" applyNumberFormat="1" applyFont="1"/>
    <xf numFmtId="0" fontId="86" fillId="0" borderId="0" xfId="0" applyFont="1" applyAlignment="1">
      <alignment vertical="center" wrapText="1"/>
    </xf>
    <xf numFmtId="0" fontId="63" fillId="0" borderId="0" xfId="0" applyFont="1" applyAlignment="1">
      <alignment wrapText="1"/>
    </xf>
    <xf numFmtId="0" fontId="59" fillId="0" borderId="15" xfId="0" applyFont="1" applyBorder="1"/>
    <xf numFmtId="0" fontId="63" fillId="0" borderId="0" xfId="0" applyFont="1"/>
    <xf numFmtId="0" fontId="87" fillId="0" borderId="15" xfId="0" applyFont="1" applyBorder="1"/>
    <xf numFmtId="0" fontId="87" fillId="0" borderId="11" xfId="0" applyFont="1" applyBorder="1"/>
    <xf numFmtId="0" fontId="63" fillId="0" borderId="11" xfId="0" applyFont="1" applyBorder="1"/>
    <xf numFmtId="0" fontId="76" fillId="0" borderId="0" xfId="0" applyFont="1"/>
    <xf numFmtId="0" fontId="76" fillId="0" borderId="0" xfId="0" applyFont="1" applyAlignment="1">
      <alignment wrapText="1"/>
    </xf>
    <xf numFmtId="0" fontId="87" fillId="67" borderId="1" xfId="0" applyFont="1" applyFill="1" applyBorder="1"/>
    <xf numFmtId="0" fontId="87" fillId="67" borderId="14" xfId="0" applyFont="1" applyFill="1" applyBorder="1"/>
    <xf numFmtId="0" fontId="59" fillId="0" borderId="11" xfId="0" applyFont="1" applyBorder="1"/>
    <xf numFmtId="0" fontId="84" fillId="0" borderId="12" xfId="0" applyFont="1" applyBorder="1"/>
    <xf numFmtId="14" fontId="14" fillId="0" borderId="0" xfId="9" quotePrefix="1" applyNumberFormat="1" applyAlignment="1">
      <alignment horizontal="right"/>
    </xf>
    <xf numFmtId="0" fontId="2" fillId="0" borderId="29" xfId="0" applyFont="1" applyBorder="1" applyAlignment="1">
      <alignment horizontal="center"/>
    </xf>
    <xf numFmtId="0" fontId="2" fillId="0" borderId="1" xfId="0" applyFont="1" applyBorder="1" applyAlignment="1">
      <alignment horizontal="center"/>
    </xf>
    <xf numFmtId="0" fontId="2" fillId="0" borderId="61" xfId="0" applyFont="1" applyBorder="1" applyAlignment="1">
      <alignment horizontal="center"/>
    </xf>
    <xf numFmtId="0" fontId="0" fillId="0" borderId="29" xfId="0" applyBorder="1"/>
    <xf numFmtId="41" fontId="0" fillId="0" borderId="1" xfId="1" applyNumberFormat="1" applyFont="1" applyBorder="1" applyAlignment="1">
      <alignment horizontal="center"/>
    </xf>
    <xf numFmtId="41" fontId="0" fillId="0" borderId="1" xfId="1" applyNumberFormat="1" applyFont="1" applyBorder="1"/>
    <xf numFmtId="9" fontId="0" fillId="0" borderId="61" xfId="3" applyFont="1" applyBorder="1"/>
    <xf numFmtId="0" fontId="0" fillId="0" borderId="62" xfId="0" applyBorder="1"/>
    <xf numFmtId="41" fontId="0" fillId="0" borderId="17" xfId="1" applyNumberFormat="1" applyFont="1" applyBorder="1" applyAlignment="1">
      <alignment horizontal="center"/>
    </xf>
    <xf numFmtId="41" fontId="0" fillId="0" borderId="17" xfId="1" applyNumberFormat="1" applyFont="1" applyBorder="1"/>
    <xf numFmtId="9" fontId="0" fillId="0" borderId="63" xfId="3" applyFont="1" applyBorder="1"/>
    <xf numFmtId="9" fontId="0" fillId="0" borderId="1" xfId="0" applyNumberFormat="1" applyBorder="1"/>
    <xf numFmtId="41" fontId="0" fillId="0" borderId="1" xfId="1" applyNumberFormat="1" applyFont="1" applyFill="1" applyBorder="1"/>
    <xf numFmtId="166" fontId="0" fillId="12" borderId="1" xfId="3" applyNumberFormat="1" applyFont="1" applyFill="1" applyBorder="1"/>
    <xf numFmtId="0" fontId="66" fillId="0" borderId="0" xfId="114" applyBorder="1" applyAlignment="1">
      <alignment wrapText="1"/>
    </xf>
    <xf numFmtId="0" fontId="65" fillId="0" borderId="1" xfId="114" applyFont="1" applyFill="1" applyBorder="1" applyAlignment="1">
      <alignment wrapText="1"/>
    </xf>
    <xf numFmtId="0" fontId="66" fillId="0" borderId="7" xfId="114" applyFill="1" applyBorder="1" applyAlignment="1">
      <alignment vertical="top" wrapText="1"/>
    </xf>
    <xf numFmtId="0" fontId="66" fillId="0" borderId="0" xfId="114" applyFill="1" applyAlignment="1">
      <alignment vertical="top" wrapText="1"/>
    </xf>
    <xf numFmtId="0" fontId="14" fillId="0" borderId="1" xfId="0" applyFont="1" applyBorder="1" applyAlignment="1">
      <alignment vertical="center" wrapText="1"/>
    </xf>
    <xf numFmtId="0" fontId="34" fillId="0" borderId="43" xfId="113" applyFont="1" applyBorder="1" applyAlignment="1">
      <alignment vertical="top" wrapText="1"/>
    </xf>
    <xf numFmtId="0" fontId="34" fillId="0" borderId="43" xfId="113" applyFont="1" applyBorder="1" applyAlignment="1">
      <alignment horizontal="center" vertical="top" wrapText="1"/>
    </xf>
    <xf numFmtId="0" fontId="0" fillId="0" borderId="0" xfId="0" applyAlignment="1">
      <alignment horizontal="center"/>
    </xf>
    <xf numFmtId="0" fontId="12" fillId="16" borderId="0" xfId="0" applyFont="1" applyFill="1" applyAlignment="1">
      <alignment horizontal="center"/>
    </xf>
    <xf numFmtId="41" fontId="0" fillId="19" borderId="0" xfId="0" applyNumberFormat="1" applyFill="1"/>
    <xf numFmtId="10" fontId="6" fillId="17" borderId="5" xfId="3" applyNumberFormat="1" applyFont="1" applyFill="1" applyBorder="1"/>
    <xf numFmtId="0" fontId="12" fillId="0" borderId="12" xfId="0" applyFont="1" applyBorder="1" applyAlignment="1">
      <alignment wrapText="1"/>
    </xf>
    <xf numFmtId="14" fontId="14" fillId="0" borderId="0" xfId="5" applyNumberFormat="1" applyFont="1" applyAlignment="1">
      <alignment horizontal="right" vertical="top"/>
    </xf>
    <xf numFmtId="165" fontId="12" fillId="9" borderId="1" xfId="0" applyNumberFormat="1" applyFont="1" applyFill="1" applyBorder="1"/>
    <xf numFmtId="0" fontId="59" fillId="0" borderId="0" xfId="8" applyFont="1" applyBorder="1" applyAlignment="1">
      <alignment wrapText="1"/>
    </xf>
    <xf numFmtId="164" fontId="0" fillId="0" borderId="0" xfId="2" applyNumberFormat="1" applyFont="1" applyAlignment="1">
      <alignment horizontal="left"/>
    </xf>
    <xf numFmtId="0" fontId="6" fillId="11" borderId="4" xfId="0" applyFont="1" applyFill="1" applyBorder="1"/>
    <xf numFmtId="0" fontId="6" fillId="11" borderId="5" xfId="0" applyFont="1" applyFill="1" applyBorder="1"/>
    <xf numFmtId="0" fontId="82" fillId="11" borderId="5" xfId="0" applyFont="1" applyFill="1" applyBorder="1"/>
    <xf numFmtId="0" fontId="6" fillId="8" borderId="4" xfId="0" applyFont="1" applyFill="1" applyBorder="1"/>
    <xf numFmtId="3" fontId="6" fillId="8" borderId="5" xfId="0" applyNumberFormat="1" applyFont="1" applyFill="1" applyBorder="1"/>
    <xf numFmtId="0" fontId="7" fillId="0" borderId="1" xfId="0" applyFont="1" applyFill="1" applyBorder="1" applyAlignment="1">
      <alignment wrapText="1"/>
    </xf>
    <xf numFmtId="0" fontId="59" fillId="0" borderId="64" xfId="8" applyFont="1" applyBorder="1" applyAlignment="1">
      <alignment wrapText="1"/>
    </xf>
    <xf numFmtId="0" fontId="12" fillId="16" borderId="0" xfId="0" applyFont="1" applyFill="1" applyAlignment="1">
      <alignment horizontal="center"/>
    </xf>
    <xf numFmtId="0" fontId="0" fillId="0" borderId="0" xfId="0" applyAlignment="1">
      <alignment horizontal="center"/>
    </xf>
    <xf numFmtId="0" fontId="6" fillId="17" borderId="4" xfId="0" applyFont="1" applyFill="1" applyBorder="1"/>
    <xf numFmtId="0" fontId="0" fillId="0" borderId="0" xfId="0" applyAlignment="1">
      <alignment horizontal="center"/>
    </xf>
    <xf numFmtId="0" fontId="0" fillId="0" borderId="0" xfId="0" applyAlignment="1">
      <alignment wrapText="1"/>
    </xf>
    <xf numFmtId="41" fontId="0" fillId="0" borderId="0" xfId="0" applyNumberFormat="1" applyFill="1"/>
    <xf numFmtId="0" fontId="0" fillId="19" borderId="0" xfId="0" applyFill="1" applyAlignment="1">
      <alignment horizontal="right"/>
    </xf>
    <xf numFmtId="0" fontId="12" fillId="16" borderId="0" xfId="0" applyFont="1" applyFill="1" applyAlignment="1">
      <alignment horizontal="center"/>
    </xf>
    <xf numFmtId="0" fontId="0" fillId="0" borderId="0" xfId="0" applyAlignment="1">
      <alignment horizontal="center"/>
    </xf>
    <xf numFmtId="0" fontId="0" fillId="0" borderId="0" xfId="0" applyAlignment="1">
      <alignment wrapText="1"/>
    </xf>
    <xf numFmtId="0" fontId="4" fillId="69" borderId="1" xfId="0" applyFont="1" applyFill="1" applyBorder="1" applyAlignment="1">
      <alignment horizontal="center"/>
    </xf>
    <xf numFmtId="165" fontId="0" fillId="69" borderId="0" xfId="1" applyNumberFormat="1" applyFont="1" applyFill="1"/>
    <xf numFmtId="165" fontId="0" fillId="69" borderId="21" xfId="1" applyNumberFormat="1" applyFont="1" applyFill="1" applyBorder="1"/>
    <xf numFmtId="165" fontId="0" fillId="69" borderId="11" xfId="1" applyNumberFormat="1" applyFont="1" applyFill="1" applyBorder="1"/>
    <xf numFmtId="0" fontId="4" fillId="12" borderId="1" xfId="0" applyFont="1" applyFill="1" applyBorder="1" applyAlignment="1">
      <alignment horizontal="left" vertical="center"/>
    </xf>
    <xf numFmtId="0" fontId="68" fillId="16" borderId="50" xfId="0" applyFont="1" applyFill="1" applyBorder="1"/>
    <xf numFmtId="0" fontId="68" fillId="0" borderId="0" xfId="0" applyFont="1"/>
    <xf numFmtId="0" fontId="68" fillId="0" borderId="0" xfId="0" applyFont="1" applyAlignment="1">
      <alignment wrapText="1"/>
    </xf>
    <xf numFmtId="0" fontId="58" fillId="0" borderId="0" xfId="0" applyFont="1"/>
    <xf numFmtId="14" fontId="14" fillId="0" borderId="0" xfId="5" applyNumberFormat="1" applyFont="1" applyFill="1"/>
    <xf numFmtId="43" fontId="4" fillId="0" borderId="12" xfId="1" applyNumberFormat="1" applyFont="1" applyFill="1" applyBorder="1"/>
    <xf numFmtId="0" fontId="14" fillId="5" borderId="12" xfId="0" applyFont="1" applyFill="1" applyBorder="1"/>
    <xf numFmtId="0" fontId="14" fillId="5" borderId="1" xfId="0" applyFont="1" applyFill="1" applyBorder="1"/>
    <xf numFmtId="0" fontId="2" fillId="0" borderId="0" xfId="0" applyFont="1" applyAlignment="1">
      <alignment horizontal="left"/>
    </xf>
    <xf numFmtId="10" fontId="6" fillId="11" borderId="0" xfId="0" applyNumberFormat="1" applyFont="1" applyFill="1" applyBorder="1" applyAlignment="1">
      <alignment horizontal="left" wrapText="1"/>
    </xf>
    <xf numFmtId="0" fontId="0" fillId="0" borderId="7" xfId="0" applyFont="1" applyBorder="1" applyAlignment="1">
      <alignment horizontal="left" wrapText="1"/>
    </xf>
    <xf numFmtId="0" fontId="0" fillId="0" borderId="0" xfId="0" applyFont="1" applyAlignment="1">
      <alignment horizontal="left" wrapText="1"/>
    </xf>
    <xf numFmtId="0" fontId="0" fillId="17" borderId="0" xfId="0" applyFill="1" applyAlignment="1">
      <alignment horizontal="left" vertical="top" wrapText="1"/>
    </xf>
    <xf numFmtId="0" fontId="0" fillId="0" borderId="0" xfId="0" applyAlignment="1">
      <alignment horizontal="left" vertical="top" wrapText="1"/>
    </xf>
    <xf numFmtId="0" fontId="18" fillId="0" borderId="0" xfId="0" applyFont="1" applyAlignment="1">
      <alignment horizontal="center"/>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6" fillId="0" borderId="4" xfId="9" applyFont="1" applyBorder="1" applyAlignment="1">
      <alignment horizontal="left" vertical="top" wrapText="1"/>
    </xf>
    <xf numFmtId="0" fontId="6" fillId="0" borderId="5" xfId="9" applyFont="1" applyBorder="1" applyAlignment="1">
      <alignment horizontal="left" vertical="top" wrapText="1"/>
    </xf>
    <xf numFmtId="0" fontId="6" fillId="0" borderId="6" xfId="9" applyFont="1" applyBorder="1" applyAlignment="1">
      <alignment horizontal="left" vertical="top" wrapText="1"/>
    </xf>
    <xf numFmtId="0" fontId="6" fillId="0" borderId="7" xfId="9" applyFont="1" applyBorder="1" applyAlignment="1">
      <alignment horizontal="left" vertical="top" wrapText="1"/>
    </xf>
    <xf numFmtId="0" fontId="6" fillId="0" borderId="0" xfId="9" applyFont="1" applyAlignment="1">
      <alignment horizontal="left" vertical="top" wrapText="1"/>
    </xf>
    <xf numFmtId="0" fontId="6" fillId="0" borderId="8" xfId="9" applyFont="1" applyBorder="1" applyAlignment="1">
      <alignment horizontal="left" vertical="top" wrapText="1"/>
    </xf>
    <xf numFmtId="0" fontId="6" fillId="0" borderId="9" xfId="9" applyFont="1" applyBorder="1" applyAlignment="1">
      <alignment horizontal="left" vertical="top" wrapText="1"/>
    </xf>
    <xf numFmtId="0" fontId="6" fillId="0" borderId="10" xfId="9" applyFont="1" applyBorder="1" applyAlignment="1">
      <alignment horizontal="left" vertical="top" wrapText="1"/>
    </xf>
    <xf numFmtId="0" fontId="6" fillId="0" borderId="11" xfId="9" applyFont="1" applyBorder="1" applyAlignment="1">
      <alignment horizontal="left" vertical="top" wrapText="1"/>
    </xf>
    <xf numFmtId="0" fontId="67" fillId="0" borderId="46" xfId="0" applyFont="1" applyBorder="1" applyAlignment="1">
      <alignment horizontal="center"/>
    </xf>
    <xf numFmtId="0" fontId="67" fillId="0" borderId="47" xfId="0" applyFont="1" applyBorder="1" applyAlignment="1">
      <alignment horizontal="center"/>
    </xf>
    <xf numFmtId="0" fontId="67" fillId="16" borderId="49" xfId="0" applyFont="1" applyFill="1" applyBorder="1" applyAlignment="1">
      <alignment horizontal="center"/>
    </xf>
    <xf numFmtId="0" fontId="67" fillId="16" borderId="0" xfId="0" applyFont="1" applyFill="1" applyAlignment="1">
      <alignment horizontal="center"/>
    </xf>
    <xf numFmtId="0" fontId="26" fillId="0" borderId="51" xfId="0" applyFont="1" applyBorder="1" applyAlignment="1">
      <alignment horizontal="left" vertical="top"/>
    </xf>
    <xf numFmtId="0" fontId="26" fillId="0" borderId="10" xfId="0" applyFont="1" applyBorder="1" applyAlignment="1">
      <alignment horizontal="left" vertical="top"/>
    </xf>
    <xf numFmtId="0" fontId="26" fillId="16" borderId="49" xfId="0" applyFont="1" applyFill="1" applyBorder="1" applyAlignment="1">
      <alignment horizontal="left" vertical="top"/>
    </xf>
    <xf numFmtId="0" fontId="26" fillId="16" borderId="0" xfId="0" applyFont="1" applyFill="1" applyAlignment="1">
      <alignment horizontal="left" vertical="top"/>
    </xf>
    <xf numFmtId="0" fontId="68" fillId="0" borderId="30" xfId="0" applyFont="1" applyBorder="1" applyAlignment="1">
      <alignment horizontal="left" vertical="top" wrapText="1"/>
    </xf>
    <xf numFmtId="0" fontId="68" fillId="0" borderId="16" xfId="0" applyFont="1" applyBorder="1" applyAlignment="1">
      <alignment horizontal="left" vertical="top" wrapText="1"/>
    </xf>
    <xf numFmtId="0" fontId="68" fillId="0" borderId="14" xfId="0" applyFont="1" applyBorder="1" applyAlignment="1">
      <alignment horizontal="left" vertical="top" wrapText="1"/>
    </xf>
    <xf numFmtId="0" fontId="68" fillId="0" borderId="30" xfId="0" applyFont="1" applyBorder="1" applyAlignment="1">
      <alignment horizontal="left" vertical="top"/>
    </xf>
    <xf numFmtId="0" fontId="68" fillId="0" borderId="16" xfId="0" applyFont="1" applyBorder="1" applyAlignment="1">
      <alignment horizontal="left" vertical="top"/>
    </xf>
    <xf numFmtId="0" fontId="68" fillId="0" borderId="14" xfId="0" applyFont="1" applyBorder="1" applyAlignment="1">
      <alignment horizontal="left" vertical="top"/>
    </xf>
    <xf numFmtId="0" fontId="69" fillId="0" borderId="51" xfId="0" applyFont="1" applyBorder="1" applyAlignment="1">
      <alignment horizontal="left" vertical="top"/>
    </xf>
    <xf numFmtId="0" fontId="69" fillId="0" borderId="10" xfId="0" applyFont="1" applyBorder="1" applyAlignment="1">
      <alignment horizontal="left" vertical="top"/>
    </xf>
    <xf numFmtId="0" fontId="12" fillId="0" borderId="30" xfId="0" applyFont="1" applyBorder="1" applyAlignment="1">
      <alignment horizontal="left" vertical="top"/>
    </xf>
    <xf numFmtId="0" fontId="12" fillId="0" borderId="16" xfId="0" applyFont="1" applyBorder="1" applyAlignment="1">
      <alignment horizontal="left" vertical="top"/>
    </xf>
    <xf numFmtId="0" fontId="12" fillId="0" borderId="14" xfId="0" applyFont="1" applyBorder="1" applyAlignment="1">
      <alignment horizontal="left" vertical="top"/>
    </xf>
    <xf numFmtId="0" fontId="71" fillId="16" borderId="49" xfId="0" applyFont="1" applyFill="1" applyBorder="1" applyAlignment="1">
      <alignment horizontal="left" vertical="top" wrapText="1"/>
    </xf>
    <xf numFmtId="0" fontId="71" fillId="16" borderId="0" xfId="0" applyFont="1" applyFill="1" applyAlignment="1">
      <alignment horizontal="left" vertical="top" wrapText="1"/>
    </xf>
    <xf numFmtId="0" fontId="12" fillId="16" borderId="49" xfId="0" applyFont="1" applyFill="1" applyBorder="1" applyAlignment="1">
      <alignment horizontal="center"/>
    </xf>
    <xf numFmtId="0" fontId="12" fillId="16" borderId="0" xfId="0" applyFont="1" applyFill="1" applyAlignment="1">
      <alignment horizontal="center"/>
    </xf>
    <xf numFmtId="0" fontId="71" fillId="0" borderId="49" xfId="0" applyFont="1" applyBorder="1" applyAlignment="1">
      <alignment horizontal="left" vertical="top" wrapText="1"/>
    </xf>
    <xf numFmtId="0" fontId="71" fillId="0" borderId="0" xfId="0" applyFont="1" applyAlignment="1">
      <alignment horizontal="left" vertical="top" wrapText="1"/>
    </xf>
    <xf numFmtId="0" fontId="69" fillId="0" borderId="49" xfId="0" applyFont="1" applyBorder="1" applyAlignment="1">
      <alignment horizontal="left" vertical="top"/>
    </xf>
    <xf numFmtId="0" fontId="69" fillId="0" borderId="0" xfId="0" applyFont="1" applyAlignment="1">
      <alignment horizontal="left" vertical="top"/>
    </xf>
    <xf numFmtId="0" fontId="12" fillId="0" borderId="30"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71" fillId="0" borderId="30" xfId="0" applyFont="1" applyBorder="1" applyAlignment="1">
      <alignment horizontal="left" vertical="top" wrapText="1"/>
    </xf>
    <xf numFmtId="0" fontId="71" fillId="0" borderId="16" xfId="0" applyFont="1" applyBorder="1" applyAlignment="1">
      <alignment horizontal="left" vertical="top" wrapText="1"/>
    </xf>
    <xf numFmtId="0" fontId="71" fillId="0" borderId="14" xfId="0" applyFont="1" applyBorder="1" applyAlignment="1">
      <alignment horizontal="left" vertical="top" wrapText="1"/>
    </xf>
    <xf numFmtId="0" fontId="68" fillId="0" borderId="49" xfId="0" applyFont="1" applyBorder="1" applyAlignment="1">
      <alignment horizontal="left" vertical="top"/>
    </xf>
    <xf numFmtId="0" fontId="68" fillId="0" borderId="0" xfId="0" applyFont="1" applyAlignment="1">
      <alignment horizontal="left" vertical="top"/>
    </xf>
    <xf numFmtId="0" fontId="0" fillId="5" borderId="5" xfId="0" applyFill="1" applyBorder="1" applyAlignment="1">
      <alignment horizontal="left" vertical="top" wrapText="1"/>
    </xf>
    <xf numFmtId="0" fontId="0" fillId="0" borderId="0" xfId="0" applyAlignment="1">
      <alignment horizontal="left" wrapText="1"/>
    </xf>
    <xf numFmtId="0" fontId="87" fillId="67" borderId="12" xfId="0" applyFont="1" applyFill="1" applyBorder="1"/>
    <xf numFmtId="0" fontId="87" fillId="67" borderId="16" xfId="0" applyFont="1" applyFill="1" applyBorder="1"/>
    <xf numFmtId="0" fontId="87" fillId="67" borderId="14" xfId="0" applyFont="1" applyFill="1" applyBorder="1"/>
    <xf numFmtId="0" fontId="87" fillId="0" borderId="12" xfId="0" applyFont="1" applyBorder="1"/>
    <xf numFmtId="0" fontId="87" fillId="0" borderId="14" xfId="0" applyFont="1" applyBorder="1"/>
    <xf numFmtId="0" fontId="14" fillId="0" borderId="18" xfId="0" applyFont="1" applyFill="1" applyBorder="1" applyAlignment="1">
      <alignment horizontal="left" wrapText="1"/>
    </xf>
    <xf numFmtId="0" fontId="14" fillId="0" borderId="26" xfId="0" applyFont="1" applyFill="1" applyBorder="1" applyAlignment="1">
      <alignment horizontal="left" wrapText="1"/>
    </xf>
    <xf numFmtId="0" fontId="14" fillId="0" borderId="27" xfId="0" applyFont="1" applyFill="1" applyBorder="1" applyAlignment="1">
      <alignment horizontal="left" wrapText="1"/>
    </xf>
    <xf numFmtId="0" fontId="4" fillId="0" borderId="23" xfId="0" applyFont="1" applyFill="1" applyBorder="1" applyAlignment="1">
      <alignment horizontal="left" wrapText="1"/>
    </xf>
    <xf numFmtId="0" fontId="4" fillId="0" borderId="24" xfId="0" applyFont="1" applyFill="1" applyBorder="1" applyAlignment="1">
      <alignment horizontal="left" wrapText="1"/>
    </xf>
    <xf numFmtId="0" fontId="4" fillId="0" borderId="25" xfId="0" applyFont="1" applyFill="1" applyBorder="1" applyAlignment="1">
      <alignment horizontal="left" wrapText="1"/>
    </xf>
    <xf numFmtId="165" fontId="0" fillId="6" borderId="12" xfId="1" applyNumberFormat="1" applyFont="1" applyFill="1" applyBorder="1" applyAlignment="1">
      <alignment horizontal="left" wrapText="1"/>
    </xf>
    <xf numFmtId="165" fontId="0" fillId="6" borderId="16" xfId="1" applyNumberFormat="1" applyFont="1" applyFill="1" applyBorder="1" applyAlignment="1">
      <alignment horizontal="left" wrapText="1"/>
    </xf>
    <xf numFmtId="165" fontId="0" fillId="6" borderId="14" xfId="1" applyNumberFormat="1" applyFont="1" applyFill="1" applyBorder="1" applyAlignment="1">
      <alignment horizontal="left" wrapText="1"/>
    </xf>
    <xf numFmtId="0" fontId="14" fillId="12" borderId="12" xfId="0" applyFont="1" applyFill="1" applyBorder="1" applyAlignment="1">
      <alignment horizontal="left" wrapText="1"/>
    </xf>
    <xf numFmtId="0" fontId="14" fillId="12" borderId="16" xfId="0" applyFont="1" applyFill="1" applyBorder="1" applyAlignment="1">
      <alignment horizontal="left" wrapText="1"/>
    </xf>
    <xf numFmtId="0" fontId="14" fillId="12" borderId="14" xfId="0" applyFont="1" applyFill="1" applyBorder="1" applyAlignment="1">
      <alignment horizontal="left" wrapText="1"/>
    </xf>
    <xf numFmtId="0" fontId="2" fillId="68" borderId="58" xfId="0" applyFont="1" applyFill="1" applyBorder="1"/>
    <xf numFmtId="0" fontId="2" fillId="68" borderId="59" xfId="0" applyFont="1" applyFill="1" applyBorder="1"/>
    <xf numFmtId="0" fontId="2" fillId="68" borderId="60" xfId="0" applyFont="1" applyFill="1" applyBorder="1"/>
    <xf numFmtId="0" fontId="76" fillId="0" borderId="30" xfId="0" applyFont="1" applyBorder="1" applyAlignment="1">
      <alignment wrapText="1"/>
    </xf>
    <xf numFmtId="0" fontId="76" fillId="0" borderId="16" xfId="0" applyFont="1" applyBorder="1" applyAlignment="1">
      <alignment wrapText="1"/>
    </xf>
    <xf numFmtId="0" fontId="76" fillId="0" borderId="57" xfId="0" applyFont="1" applyBorder="1" applyAlignment="1">
      <alignment wrapText="1"/>
    </xf>
    <xf numFmtId="0" fontId="79" fillId="0" borderId="51" xfId="0" applyFont="1" applyBorder="1" applyAlignment="1">
      <alignment wrapText="1"/>
    </xf>
    <xf numFmtId="0" fontId="79" fillId="0" borderId="10" xfId="0" applyFont="1" applyBorder="1" applyAlignment="1">
      <alignment wrapText="1"/>
    </xf>
    <xf numFmtId="0" fontId="0" fillId="0" borderId="10" xfId="0" applyFont="1" applyBorder="1" applyAlignment="1">
      <alignment horizontal="center"/>
    </xf>
    <xf numFmtId="0" fontId="26" fillId="0" borderId="49" xfId="0" applyFont="1" applyFill="1" applyBorder="1" applyAlignment="1">
      <alignment horizontal="left" vertical="top"/>
    </xf>
    <xf numFmtId="0" fontId="26" fillId="0" borderId="0" xfId="0" applyFont="1" applyFill="1" applyAlignment="1">
      <alignment horizontal="left" vertical="top"/>
    </xf>
    <xf numFmtId="0" fontId="68" fillId="0" borderId="30" xfId="0" applyFont="1" applyFill="1" applyBorder="1" applyAlignment="1">
      <alignment horizontal="left" vertical="top" wrapText="1"/>
    </xf>
    <xf numFmtId="0" fontId="68" fillId="0" borderId="16" xfId="0" applyFont="1" applyFill="1" applyBorder="1" applyAlignment="1">
      <alignment horizontal="left" vertical="top" wrapText="1"/>
    </xf>
    <xf numFmtId="0" fontId="68" fillId="0" borderId="14" xfId="0" applyFont="1" applyFill="1" applyBorder="1" applyAlignment="1">
      <alignment horizontal="left" vertical="top" wrapText="1"/>
    </xf>
    <xf numFmtId="0" fontId="69" fillId="0" borderId="49" xfId="0" applyFont="1" applyFill="1" applyBorder="1" applyAlignment="1">
      <alignment horizontal="left" vertical="top"/>
    </xf>
    <xf numFmtId="0" fontId="69" fillId="0" borderId="0" xfId="0" applyFont="1" applyFill="1" applyAlignment="1">
      <alignment horizontal="left" vertical="top"/>
    </xf>
    <xf numFmtId="0" fontId="12" fillId="0" borderId="30"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6" xfId="0" applyFont="1" applyFill="1" applyBorder="1" applyAlignment="1">
      <alignment horizontal="left" vertical="top"/>
    </xf>
    <xf numFmtId="0" fontId="12" fillId="0" borderId="14" xfId="0" applyFont="1" applyFill="1" applyBorder="1" applyAlignment="1">
      <alignment horizontal="left" vertical="top"/>
    </xf>
    <xf numFmtId="0" fontId="71" fillId="0" borderId="49" xfId="0" applyFont="1" applyFill="1" applyBorder="1" applyAlignment="1">
      <alignment horizontal="left" vertical="top" wrapText="1"/>
    </xf>
    <xf numFmtId="0" fontId="71" fillId="0" borderId="0" xfId="0" applyFont="1" applyFill="1" applyAlignment="1">
      <alignment horizontal="left" vertical="top" wrapText="1"/>
    </xf>
    <xf numFmtId="0" fontId="12" fillId="0" borderId="49" xfId="0" applyFont="1" applyFill="1" applyBorder="1" applyAlignment="1">
      <alignment horizontal="center"/>
    </xf>
    <xf numFmtId="0" fontId="12" fillId="0" borderId="0" xfId="0" applyFont="1" applyFill="1" applyAlignment="1">
      <alignment horizontal="center"/>
    </xf>
    <xf numFmtId="165" fontId="2" fillId="0" borderId="23" xfId="1" applyNumberFormat="1" applyFont="1" applyFill="1" applyBorder="1" applyAlignment="1">
      <alignment horizontal="left"/>
    </xf>
    <xf numFmtId="165" fontId="2" fillId="0" borderId="24" xfId="1" applyNumberFormat="1" applyFont="1" applyFill="1" applyBorder="1" applyAlignment="1">
      <alignment horizontal="left"/>
    </xf>
    <xf numFmtId="165" fontId="2" fillId="0" borderId="25" xfId="1" applyNumberFormat="1" applyFont="1" applyFill="1" applyBorder="1" applyAlignment="1">
      <alignment horizontal="left"/>
    </xf>
    <xf numFmtId="165" fontId="2" fillId="0" borderId="18" xfId="1" applyNumberFormat="1" applyFont="1" applyFill="1" applyBorder="1" applyAlignment="1">
      <alignment horizontal="left"/>
    </xf>
    <xf numFmtId="165" fontId="2" fillId="0" borderId="26" xfId="1" applyNumberFormat="1" applyFont="1" applyFill="1" applyBorder="1" applyAlignment="1">
      <alignment horizontal="left"/>
    </xf>
    <xf numFmtId="165" fontId="2" fillId="0" borderId="27" xfId="1" applyNumberFormat="1" applyFont="1" applyFill="1" applyBorder="1" applyAlignment="1">
      <alignment horizontal="left"/>
    </xf>
    <xf numFmtId="165" fontId="0" fillId="0" borderId="12" xfId="1" applyNumberFormat="1" applyFont="1" applyFill="1" applyBorder="1" applyAlignment="1">
      <alignment horizontal="left"/>
    </xf>
    <xf numFmtId="165" fontId="0" fillId="0" borderId="16" xfId="1" applyNumberFormat="1" applyFont="1" applyFill="1" applyBorder="1" applyAlignment="1">
      <alignment horizontal="left"/>
    </xf>
    <xf numFmtId="165" fontId="0" fillId="0" borderId="14" xfId="1" applyNumberFormat="1" applyFont="1" applyFill="1" applyBorder="1" applyAlignment="1">
      <alignment horizontal="left"/>
    </xf>
    <xf numFmtId="165" fontId="0" fillId="6" borderId="12" xfId="1" applyNumberFormat="1" applyFont="1" applyFill="1" applyBorder="1" applyAlignment="1">
      <alignment horizontal="center" wrapText="1"/>
    </xf>
    <xf numFmtId="165" fontId="0" fillId="6" borderId="16" xfId="1" applyNumberFormat="1" applyFont="1" applyFill="1" applyBorder="1" applyAlignment="1">
      <alignment horizontal="center" wrapText="1"/>
    </xf>
    <xf numFmtId="165" fontId="0" fillId="6" borderId="14" xfId="1" applyNumberFormat="1" applyFont="1" applyFill="1" applyBorder="1" applyAlignment="1">
      <alignment horizontal="center" wrapText="1"/>
    </xf>
    <xf numFmtId="165" fontId="0" fillId="12" borderId="12" xfId="1" applyNumberFormat="1" applyFont="1" applyFill="1" applyBorder="1" applyAlignment="1">
      <alignment horizontal="left"/>
    </xf>
    <xf numFmtId="165" fontId="0" fillId="12" borderId="16" xfId="1" applyNumberFormat="1" applyFont="1" applyFill="1" applyBorder="1" applyAlignment="1">
      <alignment horizontal="left"/>
    </xf>
    <xf numFmtId="165" fontId="0" fillId="12" borderId="14" xfId="1" applyNumberFormat="1" applyFont="1" applyFill="1" applyBorder="1" applyAlignment="1">
      <alignment horizontal="left"/>
    </xf>
    <xf numFmtId="0" fontId="26" fillId="16" borderId="51" xfId="0" applyFont="1" applyFill="1" applyBorder="1" applyAlignment="1">
      <alignment horizontal="left" vertical="top"/>
    </xf>
    <xf numFmtId="0" fontId="26" fillId="16" borderId="10" xfId="0" applyFont="1" applyFill="1" applyBorder="1" applyAlignment="1">
      <alignment horizontal="left" vertical="top"/>
    </xf>
    <xf numFmtId="0" fontId="12" fillId="16" borderId="52" xfId="0" applyFont="1" applyFill="1" applyBorder="1" applyAlignment="1">
      <alignment horizontal="center"/>
    </xf>
    <xf numFmtId="0" fontId="12" fillId="16" borderId="5" xfId="0" applyFont="1" applyFill="1" applyBorder="1" applyAlignment="1">
      <alignment horizontal="center"/>
    </xf>
    <xf numFmtId="0" fontId="14" fillId="0" borderId="12" xfId="0" applyFont="1" applyFill="1" applyBorder="1" applyAlignment="1">
      <alignment horizontal="left" wrapText="1"/>
    </xf>
    <xf numFmtId="0" fontId="14" fillId="0" borderId="16" xfId="0" applyFont="1" applyFill="1" applyBorder="1" applyAlignment="1">
      <alignment horizontal="left" wrapText="1"/>
    </xf>
    <xf numFmtId="0" fontId="14" fillId="0" borderId="14" xfId="0" applyFont="1" applyFill="1" applyBorder="1" applyAlignment="1">
      <alignment horizontal="left" wrapText="1"/>
    </xf>
    <xf numFmtId="0" fontId="26" fillId="16" borderId="49" xfId="0" applyFont="1" applyFill="1" applyBorder="1" applyAlignment="1">
      <alignment horizontal="left" vertical="top" wrapText="1"/>
    </xf>
    <xf numFmtId="0" fontId="73" fillId="0" borderId="49" xfId="0" applyFont="1" applyBorder="1" applyAlignment="1">
      <alignment horizontal="left" vertical="top"/>
    </xf>
    <xf numFmtId="0" fontId="73" fillId="16" borderId="49" xfId="0" applyFont="1" applyFill="1" applyBorder="1" applyAlignment="1">
      <alignment horizontal="left" vertical="top" wrapText="1"/>
    </xf>
    <xf numFmtId="0" fontId="73" fillId="16" borderId="0" xfId="0" applyFont="1" applyFill="1" applyAlignment="1">
      <alignment horizontal="left" vertical="top" wrapText="1"/>
    </xf>
    <xf numFmtId="0" fontId="73" fillId="0" borderId="49" xfId="0" applyFont="1" applyBorder="1" applyAlignment="1">
      <alignment horizontal="left" vertical="top" wrapText="1"/>
    </xf>
    <xf numFmtId="0" fontId="73" fillId="0" borderId="0" xfId="0" applyFont="1" applyAlignment="1">
      <alignment horizontal="left" vertical="top" wrapText="1"/>
    </xf>
    <xf numFmtId="0" fontId="73" fillId="16" borderId="51" xfId="0" applyFont="1" applyFill="1" applyBorder="1" applyAlignment="1">
      <alignment horizontal="left" vertical="top" wrapText="1"/>
    </xf>
    <xf numFmtId="0" fontId="73" fillId="16" borderId="10" xfId="0" applyFont="1" applyFill="1" applyBorder="1" applyAlignment="1">
      <alignment horizontal="left" vertical="top"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3" fillId="52" borderId="40" xfId="0" applyFont="1" applyFill="1" applyBorder="1" applyAlignment="1">
      <alignment horizontal="center" wrapText="1"/>
    </xf>
    <xf numFmtId="0" fontId="33" fillId="52" borderId="41" xfId="0" applyFont="1" applyFill="1" applyBorder="1" applyAlignment="1">
      <alignment horizontal="center" wrapText="1"/>
    </xf>
    <xf numFmtId="0" fontId="33" fillId="52" borderId="42" xfId="0" applyFont="1" applyFill="1" applyBorder="1" applyAlignment="1">
      <alignment horizontal="center" wrapText="1"/>
    </xf>
    <xf numFmtId="0" fontId="76" fillId="0" borderId="30" xfId="0" applyFont="1" applyBorder="1" applyAlignment="1">
      <alignment horizontal="left" vertical="top" wrapText="1"/>
    </xf>
    <xf numFmtId="0" fontId="12" fillId="0" borderId="30" xfId="0" applyFont="1" applyFill="1" applyBorder="1" applyAlignment="1">
      <alignment horizontal="left" vertical="top"/>
    </xf>
    <xf numFmtId="0" fontId="68" fillId="0" borderId="30" xfId="0" applyFont="1" applyFill="1" applyBorder="1" applyAlignment="1">
      <alignment horizontal="left" vertical="top"/>
    </xf>
    <xf numFmtId="0" fontId="68" fillId="0" borderId="16" xfId="0" applyFont="1" applyFill="1" applyBorder="1" applyAlignment="1">
      <alignment horizontal="left" vertical="top"/>
    </xf>
    <xf numFmtId="0" fontId="68" fillId="0" borderId="14" xfId="0" applyFont="1" applyFill="1" applyBorder="1" applyAlignment="1">
      <alignment horizontal="left" vertical="top"/>
    </xf>
    <xf numFmtId="0" fontId="0" fillId="0" borderId="0" xfId="0" applyFill="1" applyAlignment="1">
      <alignment horizontal="center" wrapText="1"/>
    </xf>
    <xf numFmtId="0" fontId="74" fillId="0" borderId="46" xfId="0" applyFont="1" applyBorder="1" applyAlignment="1">
      <alignment horizontal="center"/>
    </xf>
    <xf numFmtId="0" fontId="74" fillId="0" borderId="47" xfId="0" applyFont="1" applyBorder="1" applyAlignment="1">
      <alignment horizontal="center"/>
    </xf>
    <xf numFmtId="0" fontId="74" fillId="62" borderId="49" xfId="0" applyFont="1" applyFill="1" applyBorder="1" applyAlignment="1">
      <alignment horizontal="center"/>
    </xf>
    <xf numFmtId="0" fontId="74" fillId="62" borderId="0" xfId="0" applyFont="1" applyFill="1" applyAlignment="1">
      <alignment horizontal="center"/>
    </xf>
    <xf numFmtId="0" fontId="75" fillId="0" borderId="51" xfId="0" applyFont="1" applyBorder="1" applyAlignment="1">
      <alignment horizontal="left" vertical="top"/>
    </xf>
    <xf numFmtId="0" fontId="75" fillId="0" borderId="10" xfId="0" applyFont="1" applyBorder="1" applyAlignment="1">
      <alignment horizontal="left" vertical="top"/>
    </xf>
    <xf numFmtId="0" fontId="26" fillId="16" borderId="49" xfId="0" applyFont="1" applyFill="1" applyBorder="1" applyAlignment="1">
      <alignment horizontal="left" vertical="center"/>
    </xf>
    <xf numFmtId="0" fontId="26" fillId="16" borderId="0" xfId="0" applyFont="1" applyFill="1" applyAlignment="1">
      <alignment horizontal="left" vertical="center"/>
    </xf>
    <xf numFmtId="0" fontId="12" fillId="0" borderId="3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4" xfId="0" applyFont="1" applyBorder="1" applyAlignment="1">
      <alignment horizontal="left" vertical="center" wrapText="1"/>
    </xf>
    <xf numFmtId="0" fontId="69" fillId="0" borderId="49" xfId="0" applyFont="1" applyBorder="1" applyAlignment="1">
      <alignment horizontal="left" vertical="center"/>
    </xf>
    <xf numFmtId="0" fontId="69" fillId="0" borderId="0" xfId="0" applyFont="1" applyAlignment="1">
      <alignment horizontal="left" vertical="center"/>
    </xf>
    <xf numFmtId="0" fontId="12" fillId="0" borderId="30" xfId="0" applyFont="1" applyBorder="1" applyAlignment="1">
      <alignment horizontal="left"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70" fillId="0" borderId="16" xfId="0" applyFont="1" applyBorder="1" applyAlignment="1">
      <alignment horizontal="left" vertical="center" wrapText="1"/>
    </xf>
    <xf numFmtId="0" fontId="70" fillId="0" borderId="14" xfId="0" applyFont="1" applyBorder="1" applyAlignment="1">
      <alignment horizontal="left" vertical="center" wrapText="1"/>
    </xf>
    <xf numFmtId="0" fontId="12" fillId="16" borderId="49" xfId="0" applyFont="1" applyFill="1" applyBorder="1" applyAlignment="1">
      <alignment horizontal="center" vertical="center"/>
    </xf>
    <xf numFmtId="0" fontId="12" fillId="16" borderId="0" xfId="0" applyFont="1" applyFill="1" applyAlignment="1">
      <alignment horizontal="center" vertical="center"/>
    </xf>
    <xf numFmtId="0" fontId="12" fillId="0" borderId="7" xfId="0" applyFont="1" applyFill="1" applyBorder="1" applyAlignment="1">
      <alignment horizontal="left" wrapText="1"/>
    </xf>
    <xf numFmtId="0" fontId="12" fillId="0" borderId="0" xfId="0" applyFont="1" applyFill="1" applyAlignment="1">
      <alignment horizontal="left" wrapText="1"/>
    </xf>
    <xf numFmtId="0" fontId="12" fillId="0" borderId="7" xfId="0" applyFont="1" applyBorder="1" applyAlignment="1">
      <alignment horizontal="left" wrapText="1"/>
    </xf>
    <xf numFmtId="0" fontId="12" fillId="0" borderId="0" xfId="0" applyFont="1" applyAlignment="1">
      <alignment horizontal="left" wrapText="1"/>
    </xf>
    <xf numFmtId="0" fontId="59" fillId="0" borderId="7" xfId="0" applyFont="1" applyBorder="1" applyAlignment="1">
      <alignment horizontal="left" wrapText="1"/>
    </xf>
    <xf numFmtId="0" fontId="59" fillId="0" borderId="0" xfId="0" applyFont="1" applyBorder="1" applyAlignment="1">
      <alignment horizontal="left" wrapText="1"/>
    </xf>
    <xf numFmtId="0" fontId="71" fillId="0" borderId="16" xfId="0" applyFont="1" applyFill="1" applyBorder="1" applyAlignment="1">
      <alignment horizontal="left" vertical="top" wrapText="1"/>
    </xf>
    <xf numFmtId="0" fontId="71" fillId="0" borderId="14" xfId="0" applyFont="1" applyFill="1" applyBorder="1" applyAlignment="1">
      <alignment horizontal="left" vertical="top" wrapText="1"/>
    </xf>
    <xf numFmtId="0" fontId="80" fillId="0" borderId="30" xfId="0" applyFont="1" applyFill="1" applyBorder="1" applyAlignment="1">
      <alignment horizontal="left" vertical="top" wrapText="1"/>
    </xf>
    <xf numFmtId="0" fontId="80" fillId="0" borderId="16" xfId="0" applyFont="1" applyFill="1" applyBorder="1" applyAlignment="1">
      <alignment horizontal="left" vertical="top" wrapText="1"/>
    </xf>
    <xf numFmtId="0" fontId="80" fillId="0" borderId="14" xfId="0" applyFont="1" applyFill="1" applyBorder="1" applyAlignment="1">
      <alignment horizontal="left" vertical="top" wrapText="1"/>
    </xf>
    <xf numFmtId="0" fontId="71" fillId="0" borderId="30" xfId="0" applyFont="1" applyFill="1" applyBorder="1" applyAlignment="1">
      <alignment horizontal="left" vertical="top" wrapText="1"/>
    </xf>
    <xf numFmtId="44" fontId="0" fillId="0" borderId="0" xfId="0" applyNumberFormat="1" applyAlignment="1">
      <alignment horizontal="center"/>
    </xf>
    <xf numFmtId="0" fontId="0" fillId="0" borderId="0" xfId="0" applyAlignment="1">
      <alignment horizontal="center"/>
    </xf>
    <xf numFmtId="0" fontId="19" fillId="0" borderId="3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4" xfId="0" applyFont="1" applyBorder="1" applyAlignment="1">
      <alignment horizontal="left" vertical="center" wrapText="1"/>
    </xf>
    <xf numFmtId="0" fontId="71" fillId="0" borderId="49" xfId="0" applyFont="1" applyBorder="1" applyAlignment="1">
      <alignment horizontal="left" vertical="center" wrapText="1"/>
    </xf>
    <xf numFmtId="0" fontId="71" fillId="0" borderId="0" xfId="0" applyFont="1" applyAlignment="1">
      <alignment horizontal="left" vertical="center" wrapText="1"/>
    </xf>
    <xf numFmtId="0" fontId="19" fillId="0" borderId="30" xfId="0" applyFont="1" applyBorder="1" applyAlignment="1">
      <alignment horizontal="left" vertical="center"/>
    </xf>
    <xf numFmtId="0" fontId="19" fillId="0" borderId="16" xfId="0" applyFont="1" applyBorder="1" applyAlignment="1">
      <alignment horizontal="left" vertical="center"/>
    </xf>
    <xf numFmtId="0" fontId="19" fillId="0" borderId="14" xfId="0" applyFont="1" applyBorder="1" applyAlignment="1">
      <alignment horizontal="left" vertical="center"/>
    </xf>
    <xf numFmtId="0" fontId="71" fillId="16" borderId="49" xfId="0" applyFont="1" applyFill="1" applyBorder="1" applyAlignment="1">
      <alignment horizontal="left" vertical="center" wrapText="1"/>
    </xf>
    <xf numFmtId="0" fontId="71" fillId="16" borderId="0" xfId="0" applyFont="1" applyFill="1" applyAlignment="1">
      <alignment horizontal="left" vertical="center" wrapText="1"/>
    </xf>
    <xf numFmtId="0" fontId="0" fillId="5" borderId="7" xfId="0" applyFill="1" applyBorder="1" applyAlignment="1">
      <alignment wrapText="1"/>
    </xf>
    <xf numFmtId="0" fontId="0" fillId="5" borderId="0" xfId="0" applyFill="1" applyAlignment="1">
      <alignment wrapText="1"/>
    </xf>
    <xf numFmtId="0" fontId="59" fillId="0" borderId="7" xfId="0" applyFont="1" applyFill="1" applyBorder="1" applyAlignment="1">
      <alignment horizontal="left" wrapText="1"/>
    </xf>
    <xf numFmtId="0" fontId="59" fillId="0" borderId="0" xfId="0" applyFont="1" applyFill="1" applyBorder="1" applyAlignment="1">
      <alignment horizontal="left" wrapText="1"/>
    </xf>
    <xf numFmtId="0" fontId="59" fillId="0" borderId="50" xfId="0" applyFont="1" applyFill="1" applyBorder="1" applyAlignment="1">
      <alignment horizontal="left" wrapText="1"/>
    </xf>
    <xf numFmtId="0" fontId="59" fillId="62" borderId="52" xfId="0" applyFont="1" applyFill="1" applyBorder="1" applyAlignment="1">
      <alignment horizontal="center"/>
    </xf>
    <xf numFmtId="0" fontId="59" fillId="62" borderId="5" xfId="0" applyFont="1" applyFill="1" applyBorder="1" applyAlignment="1">
      <alignment horizontal="center"/>
    </xf>
    <xf numFmtId="0" fontId="59" fillId="0" borderId="30" xfId="0" applyFont="1" applyFill="1" applyBorder="1" applyAlignment="1">
      <alignment horizontal="left" vertical="top" wrapText="1"/>
    </xf>
    <xf numFmtId="0" fontId="59" fillId="0" borderId="16" xfId="0" applyFont="1" applyFill="1" applyBorder="1" applyAlignment="1">
      <alignment horizontal="left" vertical="top" wrapText="1"/>
    </xf>
    <xf numFmtId="0" fontId="76" fillId="0" borderId="30" xfId="0" applyFont="1" applyFill="1" applyBorder="1" applyAlignment="1">
      <alignment horizontal="left" vertical="top" wrapText="1"/>
    </xf>
    <xf numFmtId="0" fontId="76" fillId="0" borderId="16" xfId="0" applyFont="1" applyFill="1" applyBorder="1" applyAlignment="1">
      <alignment horizontal="left" vertical="top" wrapText="1"/>
    </xf>
    <xf numFmtId="0" fontId="75" fillId="62" borderId="51" xfId="0" applyFont="1" applyFill="1" applyBorder="1" applyAlignment="1">
      <alignment horizontal="left" vertical="top"/>
    </xf>
    <xf numFmtId="0" fontId="75" fillId="62" borderId="10" xfId="0" applyFont="1" applyFill="1" applyBorder="1" applyAlignment="1">
      <alignment horizontal="left" vertical="top"/>
    </xf>
    <xf numFmtId="0" fontId="76" fillId="0" borderId="16" xfId="0" applyFont="1" applyBorder="1" applyAlignment="1">
      <alignment horizontal="left" vertical="top" wrapText="1"/>
    </xf>
    <xf numFmtId="0" fontId="75" fillId="62" borderId="49" xfId="0" applyFont="1" applyFill="1" applyBorder="1" applyAlignment="1">
      <alignment horizontal="left" vertical="top"/>
    </xf>
    <xf numFmtId="0" fontId="75" fillId="62" borderId="0" xfId="0" applyFont="1" applyFill="1" applyAlignment="1">
      <alignment horizontal="left" vertical="top"/>
    </xf>
    <xf numFmtId="0" fontId="59" fillId="0" borderId="52" xfId="0" applyFont="1" applyBorder="1" applyAlignment="1">
      <alignment horizontal="left" vertical="top" wrapText="1"/>
    </xf>
    <xf numFmtId="0" fontId="59" fillId="0" borderId="5" xfId="0" applyFont="1" applyBorder="1" applyAlignment="1">
      <alignment horizontal="left" vertical="top" wrapText="1"/>
    </xf>
    <xf numFmtId="0" fontId="0" fillId="0" borderId="7" xfId="0" applyBorder="1" applyAlignment="1">
      <alignment wrapText="1"/>
    </xf>
    <xf numFmtId="0" fontId="0" fillId="0" borderId="0" xfId="0" applyAlignment="1">
      <alignment wrapText="1"/>
    </xf>
    <xf numFmtId="0" fontId="12" fillId="0" borderId="0" xfId="0" applyFont="1" applyFill="1" applyBorder="1" applyAlignment="1">
      <alignment horizontal="left" wrapText="1"/>
    </xf>
    <xf numFmtId="0" fontId="12" fillId="0" borderId="50" xfId="0" applyFont="1" applyFill="1" applyBorder="1" applyAlignment="1">
      <alignment horizontal="left" wrapText="1"/>
    </xf>
    <xf numFmtId="0" fontId="70" fillId="0" borderId="16" xfId="0" applyFont="1" applyFill="1" applyBorder="1" applyAlignment="1">
      <alignment horizontal="left" vertical="top" wrapText="1"/>
    </xf>
    <xf numFmtId="0" fontId="70" fillId="0" borderId="14" xfId="0" applyFont="1" applyFill="1" applyBorder="1" applyAlignment="1">
      <alignment horizontal="left" vertical="top" wrapText="1"/>
    </xf>
    <xf numFmtId="0" fontId="67" fillId="0" borderId="46" xfId="0" applyFont="1" applyBorder="1" applyAlignment="1">
      <alignment horizontal="center" vertical="center"/>
    </xf>
    <xf numFmtId="0" fontId="67" fillId="0" borderId="47" xfId="0" applyFont="1" applyBorder="1" applyAlignment="1">
      <alignment horizontal="center" vertical="center"/>
    </xf>
    <xf numFmtId="0" fontId="67" fillId="16" borderId="49" xfId="0" applyFont="1" applyFill="1" applyBorder="1" applyAlignment="1">
      <alignment horizontal="center" vertical="center"/>
    </xf>
    <xf numFmtId="0" fontId="67" fillId="16" borderId="0" xfId="0" applyFont="1" applyFill="1" applyAlignment="1">
      <alignment horizontal="center" vertical="center"/>
    </xf>
    <xf numFmtId="0" fontId="26" fillId="0" borderId="51" xfId="0" applyFont="1" applyBorder="1" applyAlignment="1">
      <alignment horizontal="left" vertical="center"/>
    </xf>
    <xf numFmtId="0" fontId="26" fillId="0" borderId="10" xfId="0" applyFont="1" applyBorder="1" applyAlignment="1">
      <alignment horizontal="left" vertical="center"/>
    </xf>
    <xf numFmtId="0" fontId="68" fillId="0" borderId="30" xfId="0" applyFont="1" applyBorder="1" applyAlignment="1">
      <alignment horizontal="left" vertical="center"/>
    </xf>
    <xf numFmtId="0" fontId="68" fillId="0" borderId="16" xfId="0" applyFont="1" applyBorder="1" applyAlignment="1">
      <alignment horizontal="left" vertical="center"/>
    </xf>
    <xf numFmtId="0" fontId="68" fillId="0" borderId="14" xfId="0" applyFont="1" applyBorder="1" applyAlignment="1">
      <alignment horizontal="left" vertical="center"/>
    </xf>
    <xf numFmtId="0" fontId="81" fillId="64" borderId="1" xfId="0" applyFont="1" applyFill="1" applyBorder="1" applyAlignment="1">
      <alignment horizontal="left"/>
    </xf>
    <xf numFmtId="0" fontId="7" fillId="0" borderId="1" xfId="0" applyFont="1" applyBorder="1" applyAlignment="1">
      <alignment horizontal="left" vertical="top" wrapText="1"/>
    </xf>
    <xf numFmtId="0" fontId="60" fillId="0" borderId="12" xfId="0" applyFont="1" applyFill="1" applyBorder="1" applyAlignment="1">
      <alignment wrapText="1"/>
    </xf>
    <xf numFmtId="0" fontId="60" fillId="0" borderId="16" xfId="0" applyFont="1" applyFill="1" applyBorder="1" applyAlignment="1">
      <alignment wrapText="1"/>
    </xf>
    <xf numFmtId="0" fontId="60" fillId="0" borderId="14" xfId="0" applyFont="1" applyFill="1" applyBorder="1" applyAlignment="1">
      <alignment wrapText="1"/>
    </xf>
    <xf numFmtId="0" fontId="0" fillId="64" borderId="1" xfId="0" applyFill="1" applyBorder="1" applyAlignment="1">
      <alignment horizontal="center"/>
    </xf>
    <xf numFmtId="0" fontId="68" fillId="0" borderId="30" xfId="0" applyFont="1" applyBorder="1" applyAlignment="1">
      <alignment horizontal="left" vertical="center" wrapText="1"/>
    </xf>
    <xf numFmtId="0" fontId="68" fillId="0" borderId="16" xfId="0" applyFont="1" applyBorder="1" applyAlignment="1">
      <alignment horizontal="left" vertical="center" wrapText="1"/>
    </xf>
    <xf numFmtId="0" fontId="68" fillId="0" borderId="14" xfId="0" applyFont="1" applyBorder="1" applyAlignment="1">
      <alignment horizontal="left" vertical="center" wrapText="1"/>
    </xf>
    <xf numFmtId="173" fontId="12" fillId="0" borderId="0" xfId="0" applyNumberFormat="1" applyFont="1" applyAlignment="1">
      <alignment horizontal="center" vertical="center"/>
    </xf>
    <xf numFmtId="0" fontId="12" fillId="0" borderId="0" xfId="0" applyFont="1" applyAlignment="1">
      <alignment horizontal="center" vertical="center"/>
    </xf>
  </cellXfs>
  <cellStyles count="115">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52" xr:uid="{00000000-0005-0000-0000-00001C000000}"/>
    <cellStyle name="Comma 3" xfId="53" xr:uid="{00000000-0005-0000-0000-00001D000000}"/>
    <cellStyle name="Comma 4" xfId="112" xr:uid="{00000000-0005-0000-0000-00001E000000}"/>
    <cellStyle name="Currency" xfId="2" builtinId="4"/>
    <cellStyle name="Currency 2" xfId="6" xr:uid="{00000000-0005-0000-0000-000020000000}"/>
    <cellStyle name="Currency 2 2" xfId="55" xr:uid="{00000000-0005-0000-0000-000021000000}"/>
    <cellStyle name="Currency 2 3" xfId="54" xr:uid="{00000000-0005-0000-0000-000022000000}"/>
    <cellStyle name="Excel Built-in Comma" xfId="56" xr:uid="{00000000-0005-0000-0000-000023000000}"/>
    <cellStyle name="Excel Built-in Currency" xfId="57" xr:uid="{00000000-0005-0000-0000-000024000000}"/>
    <cellStyle name="Excel Built-in Normal" xfId="4" xr:uid="{00000000-0005-0000-0000-000025000000}"/>
    <cellStyle name="Excel Built-in Normal 2" xfId="58" xr:uid="{00000000-0005-0000-0000-000026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1" builtinId="24" customBuiltin="1"/>
    <cellStyle name="Neutral" xfId="17" builtinId="28" customBuiltin="1"/>
    <cellStyle name="Normal" xfId="0" builtinId="0"/>
    <cellStyle name="Normal 10" xfId="51" xr:uid="{00000000-0005-0000-0000-000031000000}"/>
    <cellStyle name="Normal 10 2" xfId="59" xr:uid="{00000000-0005-0000-0000-000032000000}"/>
    <cellStyle name="Normal 11" xfId="10" xr:uid="{00000000-0005-0000-0000-000033000000}"/>
    <cellStyle name="Normal 12" xfId="60" xr:uid="{00000000-0005-0000-0000-000034000000}"/>
    <cellStyle name="Normal 12 2" xfId="61" xr:uid="{00000000-0005-0000-0000-000035000000}"/>
    <cellStyle name="Normal 12 3" xfId="62" xr:uid="{00000000-0005-0000-0000-000036000000}"/>
    <cellStyle name="Normal 12 4" xfId="63" xr:uid="{00000000-0005-0000-0000-000037000000}"/>
    <cellStyle name="Normal 13" xfId="64" xr:uid="{00000000-0005-0000-0000-000038000000}"/>
    <cellStyle name="Normal 13 2" xfId="65" xr:uid="{00000000-0005-0000-0000-000039000000}"/>
    <cellStyle name="Normal 13 3" xfId="66" xr:uid="{00000000-0005-0000-0000-00003A000000}"/>
    <cellStyle name="Normal 13 4" xfId="67" xr:uid="{00000000-0005-0000-0000-00003B000000}"/>
    <cellStyle name="Normal 14" xfId="113" xr:uid="{00000000-0005-0000-0000-00003C000000}"/>
    <cellStyle name="Normal 15" xfId="114" xr:uid="{74DC6890-5EFA-402F-AB98-B9FBAB4635D6}"/>
    <cellStyle name="Normal 16" xfId="68" xr:uid="{00000000-0005-0000-0000-00003D000000}"/>
    <cellStyle name="Normal 2" xfId="5" xr:uid="{00000000-0005-0000-0000-00003E000000}"/>
    <cellStyle name="Normal 2 2" xfId="9" xr:uid="{00000000-0005-0000-0000-00003F000000}"/>
    <cellStyle name="Normal 2 2 2" xfId="70" xr:uid="{00000000-0005-0000-0000-000040000000}"/>
    <cellStyle name="Normal 2 2 2 2" xfId="71" xr:uid="{00000000-0005-0000-0000-000041000000}"/>
    <cellStyle name="Normal 2 2 2 3" xfId="72" xr:uid="{00000000-0005-0000-0000-000042000000}"/>
    <cellStyle name="Normal 2 2 2 4" xfId="73" xr:uid="{00000000-0005-0000-0000-000043000000}"/>
    <cellStyle name="Normal 2 2 3" xfId="74" xr:uid="{00000000-0005-0000-0000-000044000000}"/>
    <cellStyle name="Normal 2 2 4" xfId="75" xr:uid="{00000000-0005-0000-0000-000045000000}"/>
    <cellStyle name="Normal 2 3" xfId="76" xr:uid="{00000000-0005-0000-0000-000046000000}"/>
    <cellStyle name="Normal 2 4" xfId="77" xr:uid="{00000000-0005-0000-0000-000047000000}"/>
    <cellStyle name="Normal 2 5" xfId="78" xr:uid="{00000000-0005-0000-0000-000048000000}"/>
    <cellStyle name="Normal 2 6" xfId="69" xr:uid="{00000000-0005-0000-0000-000049000000}"/>
    <cellStyle name="Normal 24" xfId="79" xr:uid="{00000000-0005-0000-0000-00004A000000}"/>
    <cellStyle name="Normal 3" xfId="8" xr:uid="{00000000-0005-0000-0000-00004B000000}"/>
    <cellStyle name="Normal 3 2" xfId="81" xr:uid="{00000000-0005-0000-0000-00004C000000}"/>
    <cellStyle name="Normal 3 3" xfId="82" xr:uid="{00000000-0005-0000-0000-00004D000000}"/>
    <cellStyle name="Normal 3 4" xfId="83" xr:uid="{00000000-0005-0000-0000-00004E000000}"/>
    <cellStyle name="Normal 3 5" xfId="80" xr:uid="{00000000-0005-0000-0000-00004F000000}"/>
    <cellStyle name="Normal 4" xfId="84" xr:uid="{00000000-0005-0000-0000-000050000000}"/>
    <cellStyle name="Normal 4 2" xfId="85" xr:uid="{00000000-0005-0000-0000-000051000000}"/>
    <cellStyle name="Normal 4 3" xfId="86" xr:uid="{00000000-0005-0000-0000-000052000000}"/>
    <cellStyle name="Normal 5" xfId="87" xr:uid="{00000000-0005-0000-0000-000053000000}"/>
    <cellStyle name="Normal 6" xfId="88" xr:uid="{00000000-0005-0000-0000-000054000000}"/>
    <cellStyle name="Normal 7" xfId="89" xr:uid="{00000000-0005-0000-0000-000055000000}"/>
    <cellStyle name="Normal 8" xfId="90" xr:uid="{00000000-0005-0000-0000-000056000000}"/>
    <cellStyle name="Normal 9" xfId="91" xr:uid="{00000000-0005-0000-0000-000057000000}"/>
    <cellStyle name="Note 2" xfId="92" xr:uid="{00000000-0005-0000-0000-000058000000}"/>
    <cellStyle name="Note 2 2" xfId="93" xr:uid="{00000000-0005-0000-0000-000059000000}"/>
    <cellStyle name="Note 2 3" xfId="94" xr:uid="{00000000-0005-0000-0000-00005A000000}"/>
    <cellStyle name="Note 2 4" xfId="95" xr:uid="{00000000-0005-0000-0000-00005B000000}"/>
    <cellStyle name="Note 3" xfId="96" xr:uid="{00000000-0005-0000-0000-00005C000000}"/>
    <cellStyle name="Note 3 2" xfId="97" xr:uid="{00000000-0005-0000-0000-00005D000000}"/>
    <cellStyle name="Note 3 3" xfId="98" xr:uid="{00000000-0005-0000-0000-00005E000000}"/>
    <cellStyle name="Note 3 4" xfId="99" xr:uid="{00000000-0005-0000-0000-00005F000000}"/>
    <cellStyle name="Note 4" xfId="100" xr:uid="{00000000-0005-0000-0000-000060000000}"/>
    <cellStyle name="Note 4 2" xfId="101" xr:uid="{00000000-0005-0000-0000-000061000000}"/>
    <cellStyle name="Note 4 3" xfId="102" xr:uid="{00000000-0005-0000-0000-000062000000}"/>
    <cellStyle name="Note 4 4" xfId="103" xr:uid="{00000000-0005-0000-0000-000063000000}"/>
    <cellStyle name="Note 5" xfId="104" xr:uid="{00000000-0005-0000-0000-000064000000}"/>
    <cellStyle name="Note 5 2" xfId="105" xr:uid="{00000000-0005-0000-0000-000065000000}"/>
    <cellStyle name="Note 5 3" xfId="106" xr:uid="{00000000-0005-0000-0000-000066000000}"/>
    <cellStyle name="Note 5 4" xfId="107" xr:uid="{00000000-0005-0000-0000-000067000000}"/>
    <cellStyle name="Note 6" xfId="108" xr:uid="{00000000-0005-0000-0000-000068000000}"/>
    <cellStyle name="Note 6 2" xfId="109" xr:uid="{00000000-0005-0000-0000-000069000000}"/>
    <cellStyle name="Note 6 3" xfId="110" xr:uid="{00000000-0005-0000-0000-00006A000000}"/>
    <cellStyle name="Note 6 4" xfId="111" xr:uid="{00000000-0005-0000-0000-00006B000000}"/>
    <cellStyle name="Output" xfId="19" builtinId="21" customBuiltin="1"/>
    <cellStyle name="Percent" xfId="3" builtinId="5"/>
    <cellStyle name="Percent 2" xfId="7" xr:uid="{00000000-0005-0000-0000-00006E000000}"/>
    <cellStyle name="Title 2" xfId="50" xr:uid="{00000000-0005-0000-0000-00006F000000}"/>
    <cellStyle name="Total" xfId="25" builtinId="25" customBuiltin="1"/>
    <cellStyle name="Warning Text" xfId="23" builtinId="11" customBuiltin="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n, Thao P" id="{5B52444B-DBC0-4B9E-84E0-E2D9796D43F8}" userId="S::ttran@ios.doi.gov::d93a33dd-edc6-459d-987e-6b1aac30759f" providerId="AD"/>
  <person displayName="Fojtik, Jaymee L" id="{9F0E1A14-FA29-4B06-87E6-E756CB9DEA74}" userId="S::jfojtik@ios.doi.gov::1e50fcec-4922-4606-b978-0151dd35fe7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0-02-05T15:36:37.75" personId="{5B52444B-DBC0-4B9E-84E0-E2D9796D43F8}" id="{F03A3121-08D9-4102-975E-C624064D1071}">
    <text>Overtarget Scenario description required if change is equal or greater than 10%.</text>
  </threadedComment>
</ThreadedComments>
</file>

<file path=xl/threadedComments/threadedComment2.xml><?xml version="1.0" encoding="utf-8"?>
<ThreadedComments xmlns="http://schemas.microsoft.com/office/spreadsheetml/2018/threadedcomments" xmlns:x="http://schemas.openxmlformats.org/spreadsheetml/2006/main">
  <threadedComment ref="B48" dT="2020-02-05T15:36:37.75" personId="{5B52444B-DBC0-4B9E-84E0-E2D9796D43F8}" id="{805EA349-C048-406A-A309-768C4D39E71F}">
    <text>Overtarget Scenario description required if change is equal or greater than 10%.</text>
  </threadedComment>
</ThreadedComments>
</file>

<file path=xl/threadedComments/threadedComment3.xml><?xml version="1.0" encoding="utf-8"?>
<ThreadedComments xmlns="http://schemas.microsoft.com/office/spreadsheetml/2018/threadedcomments" xmlns:x="http://schemas.openxmlformats.org/spreadsheetml/2006/main">
  <threadedComment ref="B57" dT="2020-02-05T15:36:37.75" personId="{5B52444B-DBC0-4B9E-84E0-E2D9796D43F8}" id="{8F3F9784-BAD8-41F8-A867-CCCDBBA5D0AA}">
    <text>Overtarget Scenario description required if change is equal or greater than 10%.</text>
  </threadedComment>
</ThreadedComments>
</file>

<file path=xl/threadedComments/threadedComment4.xml><?xml version="1.0" encoding="utf-8"?>
<ThreadedComments xmlns="http://schemas.microsoft.com/office/spreadsheetml/2018/threadedcomments" xmlns:x="http://schemas.openxmlformats.org/spreadsheetml/2006/main">
  <threadedComment ref="B47" dT="2020-02-05T15:36:37.75" personId="{5B52444B-DBC0-4B9E-84E0-E2D9796D43F8}" id="{FA96CA22-727C-4730-814F-D8CFCA2D6E57}">
    <text>Overtarget Scenario description required if change is equal or greater than 10%.</text>
  </threadedComment>
</ThreadedComments>
</file>

<file path=xl/threadedComments/threadedComment5.xml><?xml version="1.0" encoding="utf-8"?>
<ThreadedComments xmlns="http://schemas.microsoft.com/office/spreadsheetml/2018/threadedcomments" xmlns:x="http://schemas.openxmlformats.org/spreadsheetml/2006/main">
  <threadedComment ref="B45" dT="2020-02-05T15:36:37.75" personId="{5B52444B-DBC0-4B9E-84E0-E2D9796D43F8}" id="{6874E861-F7D1-48BC-9B1B-879C0DEA3544}">
    <text>Overtarget Scenario description required if change is equal or greater than 10%.</text>
  </threadedComment>
</ThreadedComments>
</file>

<file path=xl/threadedComments/threadedComment6.xml><?xml version="1.0" encoding="utf-8"?>
<ThreadedComments xmlns="http://schemas.microsoft.com/office/spreadsheetml/2018/threadedcomments" xmlns:x="http://schemas.openxmlformats.org/spreadsheetml/2006/main">
  <threadedComment ref="B66" dT="2020-02-05T15:36:37.75" personId="{5B52444B-DBC0-4B9E-84E0-E2D9796D43F8}" id="{88DF67E4-5604-45B4-8563-A599E07DA7FB}">
    <text>Overtarget Scenario description required if change is equal or greater than 10%.</text>
  </threadedComment>
</ThreadedComments>
</file>

<file path=xl/threadedComments/threadedComment7.xml><?xml version="1.0" encoding="utf-8"?>
<ThreadedComments xmlns="http://schemas.microsoft.com/office/spreadsheetml/2018/threadedcomments" xmlns:x="http://schemas.openxmlformats.org/spreadsheetml/2006/main">
  <threadedComment ref="B50" dT="2020-02-05T15:36:37.75" personId="{5B52444B-DBC0-4B9E-84E0-E2D9796D43F8}" id="{79E95824-8B1C-4BE2-B097-E4B172EF0123}">
    <text>Overtarget Scenario description required if change is equal or greater than 10%.</text>
  </threadedComment>
</ThreadedComments>
</file>

<file path=xl/threadedComments/threadedComment8.xml><?xml version="1.0" encoding="utf-8"?>
<ThreadedComments xmlns="http://schemas.microsoft.com/office/spreadsheetml/2018/threadedcomments" xmlns:x="http://schemas.openxmlformats.org/spreadsheetml/2006/main">
  <threadedComment ref="B44" dT="2020-02-05T15:36:37.75" personId="{5B52444B-DBC0-4B9E-84E0-E2D9796D43F8}" id="{E62A3D7A-F6E9-40B9-AE9F-76CEC1E3D3AC}">
    <text>Overtarget Scenario description required if change is equal or greater than 10%.</text>
  </threadedComment>
</ThreadedComments>
</file>

<file path=xl/threadedComments/threadedComment9.xml><?xml version="1.0" encoding="utf-8"?>
<ThreadedComments xmlns="http://schemas.microsoft.com/office/spreadsheetml/2018/threadedcomments" xmlns:x="http://schemas.openxmlformats.org/spreadsheetml/2006/main">
  <threadedComment ref="B56" dT="2020-02-05T15:36:37.75" personId="{5B52444B-DBC0-4B9E-84E0-E2D9796D43F8}" id="{426B8449-C23C-46A5-9E3D-D33AD6F3E8CE}">
    <text>Overtarget Scenario description required if change is equal or greater than 10%.</text>
  </threadedComment>
</ThreadedComments>
</file>

<file path=xl/threadedComments/threadedComment10.xml><?xml version="1.0" encoding="utf-8"?>
<ThreadedComments xmlns="http://schemas.microsoft.com/office/spreadsheetml/2018/threadedcomments" xmlns:x="http://schemas.openxmlformats.org/spreadsheetml/2006/main">
  <threadedComment ref="B53" dT="2020-02-05T15:36:37.75" personId="{5B52444B-DBC0-4B9E-84E0-E2D9796D43F8}" id="{53A6A6A7-C1BB-4885-BE9B-70E6E4D4F418}">
    <text>Overtarget Scenario description required if change is equal or greater than 10%.</text>
  </threadedComment>
</ThreadedComments>
</file>

<file path=xl/threadedComments/threadedComment11.xml><?xml version="1.0" encoding="utf-8"?>
<ThreadedComments xmlns="http://schemas.microsoft.com/office/spreadsheetml/2018/threadedcomments" xmlns:x="http://schemas.openxmlformats.org/spreadsheetml/2006/main">
  <threadedComment ref="B81" dT="2020-02-05T15:36:37.75" personId="{5B52444B-DBC0-4B9E-84E0-E2D9796D43F8}" id="{6151F796-1624-4EEA-91E4-316375754735}">
    <text>Overtarget Scenario description required if change is equal or greater than 10%.</text>
  </threadedComment>
</ThreadedComments>
</file>

<file path=xl/threadedComments/threadedComment12.xml><?xml version="1.0" encoding="utf-8"?>
<ThreadedComments xmlns="http://schemas.microsoft.com/office/spreadsheetml/2018/threadedcomments" xmlns:x="http://schemas.openxmlformats.org/spreadsheetml/2006/main">
  <threadedComment ref="B67" dT="2020-02-05T15:36:37.75" personId="{5B52444B-DBC0-4B9E-84E0-E2D9796D43F8}" id="{DF77447E-AA95-4B41-8C25-312AAB246CA4}">
    <text>Overtarget Scenario description required if change is equal or greater than 10%.</text>
  </threadedComment>
</ThreadedComments>
</file>

<file path=xl/threadedComments/threadedComment13.xml><?xml version="1.0" encoding="utf-8"?>
<ThreadedComments xmlns="http://schemas.microsoft.com/office/spreadsheetml/2018/threadedcomments" xmlns:x="http://schemas.openxmlformats.org/spreadsheetml/2006/main">
  <threadedComment ref="B64" dT="2020-02-05T15:36:37.75" personId="{5B52444B-DBC0-4B9E-84E0-E2D9796D43F8}" id="{F3C34C86-9DC1-44E5-AE34-CD29A062DB8A}">
    <text>Overtarget Scenario description required if change is equal or greater than 10%.</text>
  </threadedComment>
</ThreadedComments>
</file>

<file path=xl/threadedComments/threadedComment14.xml><?xml version="1.0" encoding="utf-8"?>
<ThreadedComments xmlns="http://schemas.microsoft.com/office/spreadsheetml/2018/threadedcomments" xmlns:x="http://schemas.openxmlformats.org/spreadsheetml/2006/main">
  <threadedComment ref="B57" dT="2020-02-05T15:36:37.75" personId="{5B52444B-DBC0-4B9E-84E0-E2D9796D43F8}" id="{ADA7AAE4-9116-4C62-B714-A6C12C981411}">
    <text>Overtarget Scenario description required if change is equal or greater than 10%.</text>
  </threadedComment>
</ThreadedComments>
</file>

<file path=xl/threadedComments/threadedComment15.xml><?xml version="1.0" encoding="utf-8"?>
<ThreadedComments xmlns="http://schemas.microsoft.com/office/spreadsheetml/2018/threadedcomments" xmlns:x="http://schemas.openxmlformats.org/spreadsheetml/2006/main">
  <threadedComment ref="B84" dT="2020-02-05T15:36:37.75" personId="{5B52444B-DBC0-4B9E-84E0-E2D9796D43F8}" id="{D22C0E7A-CDC8-4C0D-808B-1571A7A5336C}">
    <text>Overtarget Scenario description required if change is equal or greater than 10%.</text>
  </threadedComment>
</ThreadedComments>
</file>

<file path=xl/threadedComments/threadedComment16.xml><?xml version="1.0" encoding="utf-8"?>
<ThreadedComments xmlns="http://schemas.microsoft.com/office/spreadsheetml/2018/threadedcomments" xmlns:x="http://schemas.openxmlformats.org/spreadsheetml/2006/main">
  <threadedComment ref="B60" dT="2020-02-05T15:36:37.75" personId="{5B52444B-DBC0-4B9E-84E0-E2D9796D43F8}" id="{56CB244D-9C53-4D4B-A45A-481E339BAEEF}">
    <text>Overtarget Scenario description required if change is equal or greater than 10%.</text>
  </threadedComment>
</ThreadedComments>
</file>

<file path=xl/threadedComments/threadedComment17.xml><?xml version="1.0" encoding="utf-8"?>
<ThreadedComments xmlns="http://schemas.microsoft.com/office/spreadsheetml/2018/threadedcomments" xmlns:x="http://schemas.openxmlformats.org/spreadsheetml/2006/main">
  <threadedComment ref="B54" dT="2020-02-05T15:36:37.75" personId="{5B52444B-DBC0-4B9E-84E0-E2D9796D43F8}" id="{D2CF6B79-5D74-4CCB-9CE3-E9B3F61D9D09}">
    <text>Overtarget Scenario description required if change is equal or greater than 10%.</text>
  </threadedComment>
</ThreadedComments>
</file>

<file path=xl/threadedComments/threadedComment18.xml><?xml version="1.0" encoding="utf-8"?>
<ThreadedComments xmlns="http://schemas.microsoft.com/office/spreadsheetml/2018/threadedcomments" xmlns:x="http://schemas.openxmlformats.org/spreadsheetml/2006/main">
  <threadedComment ref="B59" dT="2020-02-05T15:36:37.75" personId="{5B52444B-DBC0-4B9E-84E0-E2D9796D43F8}" id="{96334414-0081-4F9E-B215-BAEDFE5FD7F4}">
    <text>Overtarget Scenario description required if change is equal or greater than 10%.</text>
  </threadedComment>
</ThreadedComments>
</file>

<file path=xl/threadedComments/threadedComment19.xml><?xml version="1.0" encoding="utf-8"?>
<ThreadedComments xmlns="http://schemas.microsoft.com/office/spreadsheetml/2018/threadedcomments" xmlns:x="http://schemas.openxmlformats.org/spreadsheetml/2006/main">
  <threadedComment ref="B61" dT="2020-02-05T15:36:37.75" personId="{5B52444B-DBC0-4B9E-84E0-E2D9796D43F8}" id="{2FEECFF5-2FAA-472A-B729-D6B66A3E8441}">
    <text>Overtarget Scenario description required if change is equal or greater than 10%.</text>
  </threadedComment>
</ThreadedComments>
</file>

<file path=xl/threadedComments/threadedComment20.xml><?xml version="1.0" encoding="utf-8"?>
<ThreadedComments xmlns="http://schemas.microsoft.com/office/spreadsheetml/2018/threadedcomments" xmlns:x="http://schemas.openxmlformats.org/spreadsheetml/2006/main">
  <threadedComment ref="B50" dT="2020-02-05T15:36:37.75" personId="{5B52444B-DBC0-4B9E-84E0-E2D9796D43F8}" id="{6C4BF0B2-B1B6-4599-9467-EE5E4587EAB8}">
    <text>Overtarget Scenario description required if change is equal or greater than 10%.</text>
  </threadedComment>
</ThreadedComments>
</file>

<file path=xl/threadedComments/threadedComment21.xml><?xml version="1.0" encoding="utf-8"?>
<ThreadedComments xmlns="http://schemas.microsoft.com/office/spreadsheetml/2018/threadedcomments" xmlns:x="http://schemas.openxmlformats.org/spreadsheetml/2006/main">
  <threadedComment ref="B50" dT="2020-02-05T15:36:37.75" personId="{5B52444B-DBC0-4B9E-84E0-E2D9796D43F8}" id="{0759C735-4394-4D6C-AF19-26DBFF67C511}">
    <text>Overtarget Scenario description required if change is equal or greater than 10%.</text>
  </threadedComment>
</ThreadedComments>
</file>

<file path=xl/threadedComments/threadedComment22.xml><?xml version="1.0" encoding="utf-8"?>
<ThreadedComments xmlns="http://schemas.microsoft.com/office/spreadsheetml/2018/threadedcomments" xmlns:x="http://schemas.openxmlformats.org/spreadsheetml/2006/main">
  <threadedComment ref="B58" dT="2020-02-05T15:36:37.75" personId="{5B52444B-DBC0-4B9E-84E0-E2D9796D43F8}" id="{E0366A68-0EE9-4809-8BFF-A3205E57FF53}">
    <text>Overtarget Scenario description required if change is equal or greater than 10%.</text>
  </threadedComment>
</ThreadedComments>
</file>

<file path=xl/threadedComments/threadedComment23.xml><?xml version="1.0" encoding="utf-8"?>
<ThreadedComments xmlns="http://schemas.microsoft.com/office/spreadsheetml/2018/threadedcomments" xmlns:x="http://schemas.openxmlformats.org/spreadsheetml/2006/main">
  <threadedComment ref="B61" dT="2020-02-05T15:36:37.75" personId="{5B52444B-DBC0-4B9E-84E0-E2D9796D43F8}" id="{82F67595-B0FC-4218-9E81-6EBA3A66449F}">
    <text>Overtarget Scenario description required if change is equal or greater than 10%.</text>
  </threadedComment>
</ThreadedComments>
</file>

<file path=xl/threadedComments/threadedComment24.xml><?xml version="1.0" encoding="utf-8"?>
<ThreadedComments xmlns="http://schemas.microsoft.com/office/spreadsheetml/2018/threadedcomments" xmlns:x="http://schemas.openxmlformats.org/spreadsheetml/2006/main">
  <threadedComment ref="B59" dT="2020-02-05T15:36:37.75" personId="{5B52444B-DBC0-4B9E-84E0-E2D9796D43F8}" id="{6D6EC39A-23C3-409C-83B0-42894219D388}">
    <text>Overtarget Scenario description required if change is equal or greater than 10%.</text>
  </threadedComment>
</ThreadedComments>
</file>

<file path=xl/threadedComments/threadedComment25.xml><?xml version="1.0" encoding="utf-8"?>
<ThreadedComments xmlns="http://schemas.microsoft.com/office/spreadsheetml/2018/threadedcomments" xmlns:x="http://schemas.openxmlformats.org/spreadsheetml/2006/main">
  <threadedComment ref="B61" dT="2020-02-05T15:36:37.75" personId="{5B52444B-DBC0-4B9E-84E0-E2D9796D43F8}" id="{E0150D6F-B509-4D2A-87DD-09ABC10D67A8}">
    <text>Overtarget Scenario description required if change is equal or greater than 10%.</text>
  </threadedComment>
</ThreadedComments>
</file>

<file path=xl/threadedComments/threadedComment26.xml><?xml version="1.0" encoding="utf-8"?>
<ThreadedComments xmlns="http://schemas.microsoft.com/office/spreadsheetml/2018/threadedcomments" xmlns:x="http://schemas.openxmlformats.org/spreadsheetml/2006/main">
  <threadedComment ref="N31" dT="2021-05-20T23:12:30.84" personId="{9F0E1A14-FA29-4B06-87E6-E756CB9DEA74}" id="{530B0940-31F7-466B-B93A-EEDA1F4D492F}">
    <text>2023 will be the last year of this contract Option Year 4. You may want to consider if this contract will be recompeted and if there may be costs involve with a transition to a new contractor and in the procurement process. My experience has been that there are additional funds required for overlap of contracts for knowledge and tech transfer</text>
  </threadedComment>
</ThreadedComments>
</file>

<file path=xl/threadedComments/threadedComment27.xml><?xml version="1.0" encoding="utf-8"?>
<ThreadedComments xmlns="http://schemas.microsoft.com/office/spreadsheetml/2018/threadedcomments" xmlns:x="http://schemas.openxmlformats.org/spreadsheetml/2006/main">
  <threadedComment ref="B50" dT="2020-02-05T15:36:37.75" personId="{5B52444B-DBC0-4B9E-84E0-E2D9796D43F8}" id="{FA0ED8D2-5165-496D-A95F-D8901B0C79DE}">
    <text>Overtarget Scenario description required if change is equal or greater than 10%.</text>
  </threadedComment>
</ThreadedComments>
</file>

<file path=xl/threadedComments/threadedComment28.xml><?xml version="1.0" encoding="utf-8"?>
<ThreadedComments xmlns="http://schemas.microsoft.com/office/spreadsheetml/2018/threadedcomments" xmlns:x="http://schemas.openxmlformats.org/spreadsheetml/2006/main">
  <threadedComment ref="B60" dT="2020-02-05T15:36:37.75" personId="{5B52444B-DBC0-4B9E-84E0-E2D9796D43F8}" id="{6FC98C73-109B-4301-A7B3-5B8C9706E650}">
    <text>Overtarget Scenario description required if change is equal or greater than 10%.</text>
  </threadedComment>
</ThreadedComments>
</file>

<file path=xl/threadedComments/threadedComment29.xml><?xml version="1.0" encoding="utf-8"?>
<ThreadedComments xmlns="http://schemas.microsoft.com/office/spreadsheetml/2018/threadedcomments" xmlns:x="http://schemas.openxmlformats.org/spreadsheetml/2006/main">
  <threadedComment ref="B50" dT="2020-02-05T15:36:37.75" personId="{5B52444B-DBC0-4B9E-84E0-E2D9796D43F8}" id="{BDECEDB9-0E19-4FD2-BDD5-4F8917C921FF}">
    <text>Overtarget Scenario description required if change is equal or greater than 10%.</text>
  </threadedComment>
</ThreadedComments>
</file>

<file path=xl/threadedComments/threadedComment30.xml><?xml version="1.0" encoding="utf-8"?>
<ThreadedComments xmlns="http://schemas.microsoft.com/office/spreadsheetml/2018/threadedcomments" xmlns:x="http://schemas.openxmlformats.org/spreadsheetml/2006/main">
  <threadedComment ref="B48" dT="2020-02-05T15:36:37.75" personId="{5B52444B-DBC0-4B9E-84E0-E2D9796D43F8}" id="{CA190496-CD93-44F2-B24A-B2CAE1E2DCEA}">
    <text>Overtarget Scenario description required if change is equal or greater than 10%.</text>
  </threadedComment>
</ThreadedComments>
</file>

<file path=xl/threadedComments/threadedComment31.xml><?xml version="1.0" encoding="utf-8"?>
<ThreadedComments xmlns="http://schemas.microsoft.com/office/spreadsheetml/2018/threadedcomments" xmlns:x="http://schemas.openxmlformats.org/spreadsheetml/2006/main">
  <threadedComment ref="B57" dT="2020-02-05T15:36:37.75" personId="{5B52444B-DBC0-4B9E-84E0-E2D9796D43F8}" id="{197F0319-F3EA-4353-8A77-703B772A7412}">
    <text>Overtarget Scenario description required if change is equal or greater than 10%.</text>
  </threadedComment>
</ThreadedComments>
</file>

<file path=xl/threadedComments/threadedComment32.xml><?xml version="1.0" encoding="utf-8"?>
<ThreadedComments xmlns="http://schemas.microsoft.com/office/spreadsheetml/2018/threadedcomments" xmlns:x="http://schemas.openxmlformats.org/spreadsheetml/2006/main">
  <threadedComment ref="B51" dT="2020-02-05T15:36:37.75" personId="{5B52444B-DBC0-4B9E-84E0-E2D9796D43F8}" id="{BE646710-56D5-473E-8735-D742153FCEEB}">
    <text>Overtarget Scenario description required if change is equal or greater than 10%.</text>
  </threadedComment>
</ThreadedComments>
</file>

<file path=xl/threadedComments/threadedComment33.xml><?xml version="1.0" encoding="utf-8"?>
<ThreadedComments xmlns="http://schemas.microsoft.com/office/spreadsheetml/2018/threadedcomments" xmlns:x="http://schemas.openxmlformats.org/spreadsheetml/2006/main">
  <threadedComment ref="B51" dT="2020-02-05T15:36:37.75" personId="{5B52444B-DBC0-4B9E-84E0-E2D9796D43F8}" id="{716272C1-045D-4251-9CB7-299AD6C14B8E}">
    <text>Overtarget Scenario description required if change is equal or greater than 10%.</text>
  </threadedComment>
</ThreadedComments>
</file>

<file path=xl/threadedComments/threadedComment34.xml><?xml version="1.0" encoding="utf-8"?>
<ThreadedComments xmlns="http://schemas.microsoft.com/office/spreadsheetml/2018/threadedcomments" xmlns:x="http://schemas.openxmlformats.org/spreadsheetml/2006/main">
  <threadedComment ref="B51" dT="2020-02-05T15:36:37.75" personId="{5B52444B-DBC0-4B9E-84E0-E2D9796D43F8}" id="{6A6C0789-8475-4A72-AEF0-76465B12C92C}">
    <text>Overtarget Scenario description required if change is equal or greater than 10%.</text>
  </threadedComment>
</ThreadedComments>
</file>

<file path=xl/threadedComments/threadedComment35.xml><?xml version="1.0" encoding="utf-8"?>
<ThreadedComments xmlns="http://schemas.microsoft.com/office/spreadsheetml/2018/threadedcomments" xmlns:x="http://schemas.openxmlformats.org/spreadsheetml/2006/main">
  <threadedComment ref="B45" dT="2020-02-05T15:36:37.75" personId="{5B52444B-DBC0-4B9E-84E0-E2D9796D43F8}" id="{245BDB51-1058-4B48-8303-C878A16B2C73}">
    <text>Overtarget Scenario description required if change is equal or greater than 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microsoft.com/office/2017/10/relationships/threadedComment" Target="../threadedComments/threadedComment7.x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9.x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 Id="rId4" Type="http://schemas.microsoft.com/office/2017/10/relationships/threadedComment" Target="../threadedComments/threadedComment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 Id="rId4" Type="http://schemas.microsoft.com/office/2017/10/relationships/threadedComment" Target="../threadedComments/threadedComment1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 Id="rId4" Type="http://schemas.microsoft.com/office/2017/10/relationships/threadedComment" Target="../threadedComments/threadedComment1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 Id="rId4" Type="http://schemas.microsoft.com/office/2017/10/relationships/threadedComment" Target="../threadedComments/threadedComment1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 Id="rId4" Type="http://schemas.microsoft.com/office/2017/10/relationships/threadedComment" Target="../threadedComments/threadedComment1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 Id="rId4" Type="http://schemas.microsoft.com/office/2017/10/relationships/threadedComment" Target="../threadedComments/threadedComment1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 Id="rId4" Type="http://schemas.microsoft.com/office/2017/10/relationships/threadedComment" Target="../threadedComments/threadedComment1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7.bin"/><Relationship Id="rId4" Type="http://schemas.microsoft.com/office/2017/10/relationships/threadedComment" Target="../threadedComments/threadedComment18.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 Id="rId4" Type="http://schemas.microsoft.com/office/2017/10/relationships/threadedComment" Target="../threadedComments/threadedComment19.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 Id="rId4" Type="http://schemas.microsoft.com/office/2017/10/relationships/threadedComment" Target="../threadedComments/threadedComment20.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 Id="rId4" Type="http://schemas.microsoft.com/office/2017/10/relationships/threadedComment" Target="../threadedComments/threadedComment2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4.bin"/><Relationship Id="rId4" Type="http://schemas.microsoft.com/office/2017/10/relationships/threadedComment" Target="../threadedComments/threadedComment22.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5.bin"/><Relationship Id="rId4" Type="http://schemas.microsoft.com/office/2017/10/relationships/threadedComment" Target="../threadedComments/threadedComment23.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6.bin"/><Relationship Id="rId4" Type="http://schemas.microsoft.com/office/2017/10/relationships/threadedComment" Target="../threadedComments/threadedComment24.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 Id="rId4" Type="http://schemas.microsoft.com/office/2017/10/relationships/threadedComment" Target="../threadedComments/threadedComment25.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 Id="rId4" Type="http://schemas.microsoft.com/office/2017/10/relationships/threadedComment" Target="../threadedComments/threadedComment26.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0.bin"/><Relationship Id="rId4" Type="http://schemas.microsoft.com/office/2017/10/relationships/threadedComment" Target="../threadedComments/threadedComment27.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1.bin"/><Relationship Id="rId4" Type="http://schemas.microsoft.com/office/2017/10/relationships/threadedComment" Target="../threadedComments/threadedComment28.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 Id="rId4" Type="http://schemas.microsoft.com/office/2017/10/relationships/threadedComment" Target="../threadedComments/threadedComment29.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 Id="rId4" Type="http://schemas.microsoft.com/office/2017/10/relationships/threadedComment" Target="../threadedComments/threadedComment30.xml"/></Relationships>
</file>

<file path=xl/worksheets/_rels/sheet49.xml.rels><?xml version="1.0" encoding="UTF-8" standalone="yes"?>
<Relationships xmlns="http://schemas.openxmlformats.org/package/2006/relationships"><Relationship Id="rId3" Type="http://schemas.microsoft.com/office/2017/10/relationships/threadedComment" Target="../threadedComments/threadedComment31.xml"/><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 Id="rId4" Type="http://schemas.microsoft.com/office/2017/10/relationships/threadedComment" Target="../threadedComments/threadedComment32.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 Id="rId4" Type="http://schemas.microsoft.com/office/2017/10/relationships/threadedComment" Target="../threadedComments/threadedComment33.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 Id="rId4" Type="http://schemas.microsoft.com/office/2017/10/relationships/threadedComment" Target="../threadedComments/threadedComment34.xml"/></Relationships>
</file>

<file path=xl/worksheets/_rels/sheet54.xml.rels><?xml version="1.0" encoding="UTF-8" standalone="yes"?>
<Relationships xmlns="http://schemas.openxmlformats.org/package/2006/relationships"><Relationship Id="rId3" Type="http://schemas.microsoft.com/office/2017/10/relationships/threadedComment" Target="../threadedComments/threadedComment35.xml"/><Relationship Id="rId2" Type="http://schemas.openxmlformats.org/officeDocument/2006/relationships/comments" Target="../comments35.xml"/><Relationship Id="rId1" Type="http://schemas.openxmlformats.org/officeDocument/2006/relationships/vmlDrawing" Target="../drawings/vmlDrawing3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P65"/>
  <sheetViews>
    <sheetView topLeftCell="A41" zoomScaleNormal="100" workbookViewId="0"/>
  </sheetViews>
  <sheetFormatPr defaultColWidth="9.1796875" defaultRowHeight="14.5"/>
  <cols>
    <col min="1" max="1" width="39.1796875" style="7" customWidth="1"/>
    <col min="2" max="2" width="24.54296875" style="7" customWidth="1"/>
    <col min="3" max="3" width="26.7265625" style="7" customWidth="1"/>
    <col min="4" max="7" width="14.453125" style="7" bestFit="1" customWidth="1"/>
    <col min="8" max="8" width="11.453125" style="7" bestFit="1" customWidth="1"/>
    <col min="9" max="10" width="11.26953125" style="7" bestFit="1" customWidth="1"/>
    <col min="11" max="11" width="12.26953125" style="7" bestFit="1" customWidth="1"/>
    <col min="12" max="16384" width="9.1796875" style="7"/>
  </cols>
  <sheetData>
    <row r="1" spans="1:12">
      <c r="A1" s="351"/>
      <c r="B1" s="351"/>
      <c r="C1" s="351"/>
      <c r="D1" s="351" t="s">
        <v>0</v>
      </c>
      <c r="E1" s="351" t="s">
        <v>1</v>
      </c>
      <c r="F1" s="351" t="s">
        <v>2</v>
      </c>
      <c r="G1" s="351" t="s">
        <v>3</v>
      </c>
      <c r="H1" s="351" t="s">
        <v>4</v>
      </c>
      <c r="I1" s="351" t="s">
        <v>5</v>
      </c>
      <c r="J1" s="351" t="s">
        <v>6</v>
      </c>
    </row>
    <row r="2" spans="1:12">
      <c r="A2" s="818" t="s">
        <v>1416</v>
      </c>
      <c r="B2" s="198"/>
      <c r="C2" s="198"/>
      <c r="D2" s="819">
        <v>274</v>
      </c>
      <c r="E2" s="819">
        <v>1386</v>
      </c>
      <c r="F2" s="819">
        <v>169</v>
      </c>
      <c r="G2" s="819">
        <v>285</v>
      </c>
      <c r="H2" s="819">
        <v>29</v>
      </c>
      <c r="I2" s="458">
        <f>SUM(D2:H2)</f>
        <v>2143</v>
      </c>
      <c r="J2" s="458">
        <f>SUM(D2:G2)</f>
        <v>2114</v>
      </c>
    </row>
    <row r="3" spans="1:12">
      <c r="A3" s="199" t="s">
        <v>1510</v>
      </c>
      <c r="B3" s="200"/>
      <c r="C3" s="200"/>
      <c r="D3" s="329">
        <f>D2/$I2</f>
        <v>0.12785814279048063</v>
      </c>
      <c r="E3" s="329">
        <f>E2/$I2</f>
        <v>0.64675688287447508</v>
      </c>
      <c r="F3" s="329">
        <f>F2/$I2</f>
        <v>7.8861409239384048E-2</v>
      </c>
      <c r="G3" s="329">
        <f>G2/$I2</f>
        <v>0.13299113392440504</v>
      </c>
      <c r="H3" s="329">
        <f>H2/$I2</f>
        <v>1.3532431171255249E-2</v>
      </c>
      <c r="I3" s="330"/>
      <c r="J3" s="330"/>
    </row>
    <row r="4" spans="1:12">
      <c r="A4" s="201" t="s">
        <v>1333</v>
      </c>
      <c r="B4" s="202">
        <v>0</v>
      </c>
      <c r="C4" s="202">
        <v>19363</v>
      </c>
      <c r="D4" s="202">
        <f>D3*$C4</f>
        <v>2475.7172188520767</v>
      </c>
      <c r="E4" s="202">
        <f>E3*$C4</f>
        <v>12523.153523098461</v>
      </c>
      <c r="F4" s="202">
        <f>F3*$C4</f>
        <v>1526.9934671021933</v>
      </c>
      <c r="G4" s="202">
        <f>G3*$C4</f>
        <v>2575.1073261782549</v>
      </c>
      <c r="H4" s="202">
        <f>H3*$C4</f>
        <v>262.02846476901539</v>
      </c>
      <c r="I4" s="202">
        <f>SUM(D4:H4)</f>
        <v>19363.000000000004</v>
      </c>
      <c r="J4" s="336">
        <f>SUM(D4:G4)</f>
        <v>19100.971535230987</v>
      </c>
    </row>
    <row r="5" spans="1:12">
      <c r="A5" s="351"/>
      <c r="B5" s="13"/>
      <c r="C5" s="13"/>
      <c r="D5" s="351"/>
      <c r="E5" s="351"/>
      <c r="F5" s="351"/>
      <c r="G5" s="351"/>
      <c r="H5" s="351"/>
      <c r="I5" s="14"/>
      <c r="J5" s="14"/>
    </row>
    <row r="6" spans="1:12" s="351" customFormat="1">
      <c r="A6" s="818" t="s">
        <v>1509</v>
      </c>
      <c r="B6" s="653"/>
      <c r="C6" s="653"/>
      <c r="D6" s="820">
        <f>274+251</f>
        <v>525</v>
      </c>
      <c r="E6" s="819">
        <v>1386</v>
      </c>
      <c r="F6" s="819">
        <v>169</v>
      </c>
      <c r="G6" s="819">
        <v>285</v>
      </c>
      <c r="H6" s="819">
        <v>29</v>
      </c>
      <c r="I6" s="654">
        <f>SUM(D6:H6)</f>
        <v>2394</v>
      </c>
      <c r="J6" s="654">
        <f>SUM(D6:G6)</f>
        <v>2365</v>
      </c>
      <c r="K6" s="370"/>
      <c r="L6" s="370"/>
    </row>
    <row r="7" spans="1:12" s="351" customFormat="1">
      <c r="A7" s="199" t="s">
        <v>1510</v>
      </c>
      <c r="B7" s="655"/>
      <c r="C7" s="655"/>
      <c r="D7" s="656">
        <f>D6/$I6</f>
        <v>0.21929824561403508</v>
      </c>
      <c r="E7" s="656">
        <f>E6/$I6</f>
        <v>0.57894736842105265</v>
      </c>
      <c r="F7" s="656">
        <f>F6/$I6</f>
        <v>7.0593149540517958E-2</v>
      </c>
      <c r="G7" s="656">
        <f>G6/$I6</f>
        <v>0.11904761904761904</v>
      </c>
      <c r="H7" s="656">
        <f>H6/$I6</f>
        <v>1.2113617376775271E-2</v>
      </c>
      <c r="I7" s="657"/>
      <c r="J7" s="657"/>
      <c r="K7" s="370"/>
      <c r="L7" s="370"/>
    </row>
    <row r="8" spans="1:12" s="351" customFormat="1">
      <c r="A8" s="201" t="s">
        <v>1334</v>
      </c>
      <c r="B8" s="658">
        <v>0</v>
      </c>
      <c r="C8" s="658">
        <v>15000</v>
      </c>
      <c r="D8" s="658">
        <f>ROUND(D7*$C8,0)</f>
        <v>3289</v>
      </c>
      <c r="E8" s="658">
        <f>ROUND(E7*$C8,0)-1</f>
        <v>8683</v>
      </c>
      <c r="F8" s="658">
        <f>ROUND(F7*$C8,0)</f>
        <v>1059</v>
      </c>
      <c r="G8" s="658">
        <f>ROUND(G7*$C8,0)</f>
        <v>1786</v>
      </c>
      <c r="H8" s="658">
        <f>ROUND(H7*$C8,0)</f>
        <v>182</v>
      </c>
      <c r="I8" s="658">
        <f>SUM(D8:H8)</f>
        <v>14999</v>
      </c>
      <c r="J8" s="659">
        <f>SUM(D8:G8)</f>
        <v>14817</v>
      </c>
      <c r="K8" s="370"/>
      <c r="L8" s="370"/>
    </row>
    <row r="9" spans="1:12" s="351" customFormat="1">
      <c r="B9" s="13"/>
      <c r="C9" s="13"/>
      <c r="I9" s="14"/>
      <c r="J9" s="14"/>
    </row>
    <row r="10" spans="1:12">
      <c r="A10" s="821" t="s">
        <v>1511</v>
      </c>
      <c r="B10" s="193"/>
      <c r="C10" s="193"/>
      <c r="D10" s="822">
        <v>128</v>
      </c>
      <c r="E10" s="822">
        <v>604</v>
      </c>
      <c r="F10" s="822">
        <v>241</v>
      </c>
      <c r="G10" s="822">
        <v>295</v>
      </c>
      <c r="H10" s="822">
        <v>6</v>
      </c>
      <c r="I10" s="459">
        <f>SUM(D10:H10)</f>
        <v>1274</v>
      </c>
      <c r="J10" s="457">
        <f>SUM(D10:G10)</f>
        <v>1268</v>
      </c>
    </row>
    <row r="11" spans="1:12">
      <c r="A11" s="197" t="s">
        <v>1510</v>
      </c>
      <c r="B11" s="194"/>
      <c r="C11" s="194"/>
      <c r="D11" s="331">
        <f>D10/$I10</f>
        <v>0.10047095761381476</v>
      </c>
      <c r="E11" s="331">
        <f>E10/$I10</f>
        <v>0.47409733124018838</v>
      </c>
      <c r="F11" s="331">
        <f>F10/$I10</f>
        <v>0.18916797488226059</v>
      </c>
      <c r="G11" s="331">
        <f>G10/$I10</f>
        <v>0.23155416012558869</v>
      </c>
      <c r="H11" s="331">
        <f>H10/$I10</f>
        <v>4.7095761381475663E-3</v>
      </c>
      <c r="I11" s="332">
        <v>1</v>
      </c>
      <c r="J11" s="332"/>
    </row>
    <row r="12" spans="1:12">
      <c r="A12" s="195" t="s">
        <v>1333</v>
      </c>
      <c r="B12" s="196">
        <v>0</v>
      </c>
      <c r="C12" s="196">
        <v>10290</v>
      </c>
      <c r="D12" s="196">
        <f>D11*$C12</f>
        <v>1033.8461538461538</v>
      </c>
      <c r="E12" s="196">
        <f>E11*$C12</f>
        <v>4878.4615384615381</v>
      </c>
      <c r="F12" s="196">
        <f>F11*$C12</f>
        <v>1946.5384615384614</v>
      </c>
      <c r="G12" s="196">
        <f>G11*$C12</f>
        <v>2382.6923076923076</v>
      </c>
      <c r="H12" s="196">
        <f>H11*$C12</f>
        <v>48.46153846153846</v>
      </c>
      <c r="I12" s="196">
        <f>SUM(D12:H12)</f>
        <v>10290</v>
      </c>
      <c r="J12" s="333">
        <f>SUM(D12:G12)</f>
        <v>10241.538461538461</v>
      </c>
    </row>
    <row r="13" spans="1:12">
      <c r="A13" s="8"/>
      <c r="B13" s="9"/>
      <c r="C13" s="9"/>
      <c r="D13" s="10"/>
      <c r="E13" s="10"/>
      <c r="F13" s="10"/>
      <c r="G13" s="10"/>
      <c r="H13" s="10"/>
      <c r="I13" s="11"/>
      <c r="J13" s="11"/>
    </row>
    <row r="14" spans="1:12">
      <c r="A14" s="827" t="s">
        <v>1512</v>
      </c>
      <c r="B14" s="203"/>
      <c r="C14" s="203"/>
      <c r="D14" s="204">
        <v>2</v>
      </c>
      <c r="E14" s="204">
        <v>40</v>
      </c>
      <c r="F14" s="204">
        <v>2</v>
      </c>
      <c r="G14" s="204">
        <v>30</v>
      </c>
      <c r="H14" s="204">
        <v>0</v>
      </c>
      <c r="I14" s="460">
        <f>SUM(D14:H14)</f>
        <v>74</v>
      </c>
      <c r="J14" s="461">
        <f>SUM(D14:G14)</f>
        <v>74</v>
      </c>
    </row>
    <row r="15" spans="1:12">
      <c r="A15" s="205" t="s">
        <v>1510</v>
      </c>
      <c r="B15" s="206"/>
      <c r="C15" s="206"/>
      <c r="D15" s="334">
        <f>D14/$I14</f>
        <v>2.7027027027027029E-2</v>
      </c>
      <c r="E15" s="334">
        <f>E14/$I14</f>
        <v>0.54054054054054057</v>
      </c>
      <c r="F15" s="334">
        <f>F14/$I14</f>
        <v>2.7027027027027029E-2</v>
      </c>
      <c r="G15" s="334">
        <f>G14/$I14</f>
        <v>0.40540540540540543</v>
      </c>
      <c r="H15" s="334">
        <f>H14/$I14</f>
        <v>0</v>
      </c>
      <c r="I15" s="335">
        <v>1</v>
      </c>
      <c r="J15" s="335"/>
    </row>
    <row r="16" spans="1:12">
      <c r="A16" s="207" t="s">
        <v>1333</v>
      </c>
      <c r="B16" s="208">
        <v>0</v>
      </c>
      <c r="C16" s="208"/>
      <c r="D16" s="208">
        <f>ROUND(D15*$C16,0)</f>
        <v>0</v>
      </c>
      <c r="E16" s="208">
        <f>ROUND(E15*$C16,0)</f>
        <v>0</v>
      </c>
      <c r="F16" s="208">
        <f>ROUND(F15*$C16,0)</f>
        <v>0</v>
      </c>
      <c r="G16" s="208">
        <f>ROUND(G15*$C16,0)</f>
        <v>0</v>
      </c>
      <c r="H16" s="208">
        <f>ROUND(H15*$C16,0)</f>
        <v>0</v>
      </c>
      <c r="I16" s="208">
        <f>SUM(D16:H16)</f>
        <v>0</v>
      </c>
      <c r="J16" s="337">
        <f>SUM(D16:G16)</f>
        <v>0</v>
      </c>
    </row>
    <row r="17" spans="1:16">
      <c r="A17" s="8"/>
      <c r="B17" s="9"/>
      <c r="C17" s="12"/>
      <c r="D17" s="10"/>
      <c r="E17" s="10"/>
      <c r="F17" s="10"/>
      <c r="G17" s="10"/>
      <c r="H17" s="10"/>
      <c r="I17" s="11"/>
      <c r="J17" s="11"/>
    </row>
    <row r="18" spans="1:16" s="149" customFormat="1" ht="26.25" customHeight="1">
      <c r="A18" s="662" t="s">
        <v>1340</v>
      </c>
      <c r="B18" s="852" t="s">
        <v>7</v>
      </c>
      <c r="C18" s="204"/>
      <c r="D18" s="812">
        <v>0.36799999999999999</v>
      </c>
      <c r="E18" s="812">
        <v>0.52800000000000002</v>
      </c>
      <c r="F18" s="812">
        <v>6.0999999999999999E-2</v>
      </c>
      <c r="G18" s="812">
        <v>4.2999999999999997E-2</v>
      </c>
      <c r="H18" s="254">
        <v>0</v>
      </c>
      <c r="I18" s="254">
        <v>0</v>
      </c>
      <c r="J18" s="392">
        <f>SUM(D18:I18)</f>
        <v>1</v>
      </c>
    </row>
    <row r="19" spans="1:16" s="149" customFormat="1" ht="21.75" customHeight="1">
      <c r="A19" s="663" t="s">
        <v>1341</v>
      </c>
      <c r="B19" s="852"/>
      <c r="C19" s="255">
        <f>Summary!C164</f>
        <v>8677</v>
      </c>
      <c r="D19" s="255">
        <f t="shared" ref="D19:I19" si="0">$C19*D18</f>
        <v>3193.136</v>
      </c>
      <c r="E19" s="255">
        <f t="shared" si="0"/>
        <v>4581.4560000000001</v>
      </c>
      <c r="F19" s="255">
        <f t="shared" si="0"/>
        <v>529.29700000000003</v>
      </c>
      <c r="G19" s="255">
        <f t="shared" si="0"/>
        <v>373.11099999999999</v>
      </c>
      <c r="H19" s="256">
        <f t="shared" si="0"/>
        <v>0</v>
      </c>
      <c r="I19" s="256">
        <f t="shared" si="0"/>
        <v>0</v>
      </c>
      <c r="J19" s="256">
        <f>SUM(D19:H19)</f>
        <v>8677.0000000000018</v>
      </c>
      <c r="K19" s="853" t="s">
        <v>1513</v>
      </c>
      <c r="L19" s="853"/>
      <c r="M19" s="853"/>
      <c r="N19" s="853"/>
      <c r="O19" s="853"/>
      <c r="P19" s="853"/>
    </row>
    <row r="20" spans="1:16">
      <c r="A20" s="8"/>
      <c r="B20" s="462"/>
      <c r="C20" s="9"/>
      <c r="D20" s="351" t="s">
        <v>0</v>
      </c>
      <c r="E20" s="351" t="s">
        <v>1</v>
      </c>
      <c r="F20" s="351" t="s">
        <v>2</v>
      </c>
      <c r="G20" s="351" t="s">
        <v>3</v>
      </c>
      <c r="H20" s="10"/>
      <c r="I20" s="10"/>
      <c r="J20" s="10"/>
      <c r="K20" s="853"/>
      <c r="L20" s="853"/>
      <c r="M20" s="853"/>
      <c r="N20" s="853"/>
      <c r="O20" s="853"/>
      <c r="P20" s="853"/>
    </row>
    <row r="21" spans="1:16">
      <c r="A21" s="352" t="s">
        <v>8</v>
      </c>
      <c r="B21" s="352"/>
      <c r="C21" s="352"/>
      <c r="D21" s="352">
        <v>0.22059405266293161</v>
      </c>
      <c r="E21" s="352">
        <v>0.46647437276318887</v>
      </c>
      <c r="F21" s="352">
        <v>0.14690167620770697</v>
      </c>
      <c r="G21" s="352">
        <v>0.1660298983661726</v>
      </c>
      <c r="H21" s="352"/>
      <c r="I21" s="352"/>
      <c r="J21" s="352"/>
      <c r="K21" s="853"/>
      <c r="L21" s="853"/>
      <c r="M21" s="853"/>
      <c r="N21" s="853"/>
      <c r="O21" s="853"/>
      <c r="P21" s="853"/>
    </row>
    <row r="22" spans="1:16">
      <c r="A22" s="352" t="s">
        <v>9</v>
      </c>
      <c r="B22" s="352"/>
      <c r="C22" s="352"/>
      <c r="D22" s="352">
        <v>0.19369427438850936</v>
      </c>
      <c r="E22" s="352">
        <v>0.50040123465513386</v>
      </c>
      <c r="F22" s="352">
        <v>0.14563726793343121</v>
      </c>
      <c r="G22" s="352">
        <v>0.16026722302292554</v>
      </c>
      <c r="H22" s="352"/>
      <c r="I22" s="352"/>
      <c r="J22" s="352"/>
      <c r="K22" s="853"/>
      <c r="L22" s="853"/>
      <c r="M22" s="853"/>
      <c r="N22" s="853"/>
      <c r="O22" s="853"/>
      <c r="P22" s="853"/>
    </row>
    <row r="23" spans="1:16">
      <c r="A23" s="352" t="s">
        <v>10</v>
      </c>
      <c r="B23" s="352"/>
      <c r="C23" s="352"/>
      <c r="D23" s="352">
        <v>0.21043999999999999</v>
      </c>
      <c r="E23" s="352">
        <v>0.4768</v>
      </c>
      <c r="F23" s="352">
        <v>0.14823</v>
      </c>
      <c r="G23" s="352">
        <v>0.16453000000000001</v>
      </c>
      <c r="H23" s="352"/>
      <c r="I23" s="352"/>
      <c r="J23" s="352"/>
      <c r="K23" s="351"/>
    </row>
    <row r="24" spans="1:16">
      <c r="A24" s="352" t="s">
        <v>11</v>
      </c>
      <c r="B24" s="352"/>
      <c r="C24" s="352"/>
      <c r="D24" s="352">
        <v>0.20954071397127164</v>
      </c>
      <c r="E24" s="352">
        <v>0.47691229079105518</v>
      </c>
      <c r="F24" s="352">
        <v>0.14854805918007455</v>
      </c>
      <c r="G24" s="352">
        <v>0.16499893605759866</v>
      </c>
      <c r="H24" s="352"/>
      <c r="I24" s="352"/>
      <c r="J24" s="352"/>
      <c r="K24" s="351"/>
    </row>
    <row r="25" spans="1:16" s="351" customFormat="1">
      <c r="A25" s="352" t="s">
        <v>12</v>
      </c>
      <c r="B25" s="352"/>
      <c r="C25" s="352"/>
      <c r="D25" s="352">
        <v>0.20169999999999999</v>
      </c>
      <c r="E25" s="352">
        <v>0.49640000000000001</v>
      </c>
      <c r="F25" s="352">
        <v>0.14299999999999999</v>
      </c>
      <c r="G25" s="352">
        <v>0.15890000000000001</v>
      </c>
      <c r="H25" s="352"/>
      <c r="I25" s="352"/>
      <c r="J25" s="352"/>
    </row>
    <row r="26" spans="1:16" s="351" customFormat="1">
      <c r="A26" s="352" t="s">
        <v>13</v>
      </c>
      <c r="B26" s="352"/>
      <c r="C26" s="352"/>
      <c r="D26" s="522">
        <v>0.20119999999999999</v>
      </c>
      <c r="E26" s="522">
        <v>0.52869999999999995</v>
      </c>
      <c r="F26" s="522">
        <v>0.1265</v>
      </c>
      <c r="G26" s="522">
        <v>0.14360000000000001</v>
      </c>
      <c r="H26" s="352"/>
      <c r="I26" s="352"/>
      <c r="J26" s="352"/>
    </row>
    <row r="27" spans="1:16">
      <c r="A27" s="352" t="s">
        <v>14</v>
      </c>
      <c r="B27" s="352"/>
      <c r="C27" s="352"/>
      <c r="D27" s="352">
        <v>0.20099441242174357</v>
      </c>
      <c r="E27" s="352">
        <v>0.53950416724123673</v>
      </c>
      <c r="F27" s="352">
        <v>0.12101573126671998</v>
      </c>
      <c r="G27" s="352">
        <v>0.13848568907029979</v>
      </c>
      <c r="H27" s="352"/>
      <c r="I27" s="352"/>
      <c r="J27" s="352"/>
      <c r="K27" s="351"/>
    </row>
    <row r="28" spans="1:16" s="351" customFormat="1">
      <c r="A28" s="352" t="s">
        <v>15</v>
      </c>
      <c r="B28" s="352"/>
      <c r="C28" s="352"/>
      <c r="D28" s="352">
        <v>0.20080000000000001</v>
      </c>
      <c r="E28" s="352">
        <v>0.55030000000000001</v>
      </c>
      <c r="F28" s="352">
        <v>0.11550000000000001</v>
      </c>
      <c r="G28" s="352">
        <v>0.13339999999999999</v>
      </c>
      <c r="H28" s="352"/>
      <c r="I28" s="352"/>
      <c r="J28" s="352"/>
    </row>
    <row r="29" spans="1:16">
      <c r="D29" s="351" t="s">
        <v>0</v>
      </c>
      <c r="E29" s="351" t="s">
        <v>1</v>
      </c>
      <c r="F29" s="351" t="s">
        <v>2</v>
      </c>
      <c r="G29" s="351" t="s">
        <v>3</v>
      </c>
    </row>
    <row r="30" spans="1:16" s="351" customFormat="1">
      <c r="A30" s="439" t="s">
        <v>16</v>
      </c>
      <c r="B30" s="439"/>
      <c r="C30" s="439"/>
      <c r="D30" s="439">
        <v>0.2319</v>
      </c>
      <c r="E30" s="439">
        <v>0.53510000000000002</v>
      </c>
      <c r="F30" s="439">
        <v>0.10340000000000001</v>
      </c>
      <c r="G30" s="439">
        <v>0.1295</v>
      </c>
      <c r="H30" s="439"/>
      <c r="I30" s="439"/>
      <c r="J30" s="439"/>
    </row>
    <row r="31" spans="1:16" s="351" customFormat="1" ht="29.5" customHeight="1">
      <c r="A31" s="849" t="s">
        <v>17</v>
      </c>
      <c r="B31" s="849"/>
      <c r="C31" s="849"/>
      <c r="D31" s="439">
        <v>0.18479999999999999</v>
      </c>
      <c r="E31" s="439">
        <v>0.57240000000000002</v>
      </c>
      <c r="F31" s="439">
        <v>0.10780000000000001</v>
      </c>
      <c r="G31" s="439">
        <v>0.13500000000000001</v>
      </c>
      <c r="H31" s="439"/>
      <c r="I31" s="439"/>
      <c r="J31" s="439"/>
    </row>
    <row r="32" spans="1:16" s="351" customFormat="1">
      <c r="A32" s="439" t="s">
        <v>18</v>
      </c>
      <c r="B32" s="439"/>
      <c r="C32" s="439"/>
      <c r="D32" s="522">
        <v>0.18479999999999999</v>
      </c>
      <c r="E32" s="522">
        <v>0.57240000000000002</v>
      </c>
      <c r="F32" s="522">
        <v>0.10780000000000001</v>
      </c>
      <c r="G32" s="522">
        <v>0.13500000000000001</v>
      </c>
      <c r="H32" s="439"/>
      <c r="I32" s="439"/>
      <c r="J32" s="439"/>
    </row>
    <row r="33" spans="1:12" s="351" customFormat="1">
      <c r="A33" s="439" t="s">
        <v>19</v>
      </c>
      <c r="B33" s="439"/>
      <c r="C33" s="439"/>
      <c r="D33" s="439">
        <v>0.18809999999999999</v>
      </c>
      <c r="E33" s="439">
        <v>0.60729999999999995</v>
      </c>
      <c r="F33" s="439">
        <v>8.9099999999999999E-2</v>
      </c>
      <c r="G33" s="439">
        <v>0.11550000000000001</v>
      </c>
      <c r="H33" s="439"/>
      <c r="I33" s="439"/>
      <c r="J33" s="439"/>
      <c r="K33" s="351" t="s">
        <v>20</v>
      </c>
    </row>
    <row r="34" spans="1:12" s="351" customFormat="1">
      <c r="A34" s="439" t="s">
        <v>21</v>
      </c>
      <c r="B34" s="439"/>
      <c r="C34" s="439"/>
      <c r="D34" s="439">
        <v>0.18809999999999999</v>
      </c>
      <c r="E34" s="439">
        <v>0.60729999999999995</v>
      </c>
      <c r="F34" s="439">
        <v>8.9099999999999999E-2</v>
      </c>
      <c r="G34" s="439">
        <v>0.11550000000000001</v>
      </c>
      <c r="H34" s="439"/>
      <c r="I34" s="439"/>
      <c r="J34" s="439"/>
      <c r="K34" s="351" t="s">
        <v>20</v>
      </c>
    </row>
    <row r="35" spans="1:12" s="351" customFormat="1"/>
    <row r="36" spans="1:12" s="351" customFormat="1"/>
    <row r="37" spans="1:12" ht="28.5">
      <c r="A37" s="448" t="s">
        <v>1564</v>
      </c>
      <c r="B37" s="448" t="s">
        <v>22</v>
      </c>
      <c r="C37" s="448" t="s">
        <v>23</v>
      </c>
      <c r="D37" s="351"/>
      <c r="E37" s="351"/>
      <c r="F37" s="351"/>
      <c r="G37" s="351"/>
      <c r="H37" s="351"/>
      <c r="I37" s="351"/>
      <c r="J37" s="351"/>
      <c r="K37" s="351"/>
      <c r="L37" s="351"/>
    </row>
    <row r="38" spans="1:12">
      <c r="A38" s="191" t="s">
        <v>24</v>
      </c>
      <c r="B38" s="447">
        <v>0.6966</v>
      </c>
      <c r="C38" s="449">
        <f>Summary!C7/(Summary!C7+Summary!C82)</f>
        <v>0.69659627568214555</v>
      </c>
      <c r="D38" s="351" t="s">
        <v>979</v>
      </c>
      <c r="E38" s="351"/>
      <c r="F38" s="351"/>
      <c r="G38" s="351"/>
      <c r="H38" s="351"/>
      <c r="I38" s="351"/>
      <c r="J38" s="351"/>
      <c r="K38" s="351"/>
      <c r="L38" s="351"/>
    </row>
    <row r="39" spans="1:12">
      <c r="A39" s="192" t="s">
        <v>25</v>
      </c>
      <c r="B39" s="447">
        <v>0.3034</v>
      </c>
      <c r="C39" s="449">
        <f>1-C38</f>
        <v>0.30340372431785445</v>
      </c>
      <c r="D39" s="351"/>
      <c r="E39" s="351"/>
      <c r="F39" s="351"/>
      <c r="G39" s="351"/>
      <c r="H39" s="351"/>
      <c r="I39" s="351"/>
      <c r="J39" s="351"/>
      <c r="K39" s="351"/>
      <c r="L39" s="351"/>
    </row>
    <row r="40" spans="1:12">
      <c r="A40" s="130"/>
      <c r="B40" s="131"/>
      <c r="C40" s="351"/>
      <c r="D40" s="351"/>
      <c r="E40" s="351"/>
      <c r="F40" s="351"/>
      <c r="G40" s="351"/>
      <c r="H40" s="351"/>
      <c r="I40" s="351"/>
      <c r="J40" s="351"/>
      <c r="K40" s="351"/>
      <c r="L40" s="351"/>
    </row>
    <row r="42" spans="1:12">
      <c r="A42" s="351"/>
      <c r="B42" s="186"/>
      <c r="C42" s="187"/>
      <c r="D42" s="187" t="s">
        <v>0</v>
      </c>
      <c r="E42" s="187" t="s">
        <v>1</v>
      </c>
      <c r="F42" s="187" t="s">
        <v>2</v>
      </c>
      <c r="G42" s="187" t="s">
        <v>3</v>
      </c>
      <c r="H42" s="187" t="s">
        <v>4</v>
      </c>
      <c r="I42" s="188" t="s">
        <v>26</v>
      </c>
      <c r="J42" s="351"/>
      <c r="K42" s="351"/>
      <c r="L42" s="351"/>
    </row>
    <row r="43" spans="1:12" ht="28.5">
      <c r="A43" s="338" t="s">
        <v>27</v>
      </c>
      <c r="B43" s="338" t="s">
        <v>1514</v>
      </c>
      <c r="C43" s="340" t="s">
        <v>1575</v>
      </c>
      <c r="D43" s="339">
        <v>50019.912964559997</v>
      </c>
      <c r="E43" s="339">
        <v>154931.80833828001</v>
      </c>
      <c r="F43" s="339">
        <v>29178.282562660002</v>
      </c>
      <c r="G43" s="339">
        <v>36540.520834500006</v>
      </c>
      <c r="H43" s="339">
        <v>5243</v>
      </c>
      <c r="I43" s="339"/>
      <c r="J43" s="351" t="s">
        <v>28</v>
      </c>
      <c r="K43" s="351"/>
      <c r="L43" s="351"/>
    </row>
    <row r="44" spans="1:12" ht="42.5">
      <c r="A44" s="351"/>
      <c r="B44" s="338" t="s">
        <v>1515</v>
      </c>
      <c r="C44" s="340" t="s">
        <v>730</v>
      </c>
      <c r="D44" s="339">
        <v>472</v>
      </c>
      <c r="E44" s="339">
        <v>4750</v>
      </c>
      <c r="F44" s="339">
        <v>875</v>
      </c>
      <c r="G44" s="339">
        <v>903</v>
      </c>
      <c r="H44" s="339">
        <v>0</v>
      </c>
      <c r="I44" s="339"/>
      <c r="J44" s="351"/>
      <c r="K44" s="351"/>
      <c r="L44" s="351"/>
    </row>
    <row r="45" spans="1:12" s="351" customFormat="1" ht="28.5">
      <c r="B45" s="338" t="s">
        <v>1515</v>
      </c>
      <c r="C45" s="340" t="s">
        <v>728</v>
      </c>
      <c r="D45" s="339">
        <v>3289</v>
      </c>
      <c r="E45" s="339">
        <v>8683.4</v>
      </c>
      <c r="F45" s="339">
        <v>1059.0999999999999</v>
      </c>
      <c r="G45" s="339">
        <v>1786</v>
      </c>
      <c r="H45" s="339">
        <v>182</v>
      </c>
      <c r="I45" s="339"/>
    </row>
    <row r="46" spans="1:12" s="280" customFormat="1" ht="56.5">
      <c r="A46" s="351"/>
      <c r="B46" s="338" t="s">
        <v>1515</v>
      </c>
      <c r="C46" s="340" t="s">
        <v>1584</v>
      </c>
      <c r="D46" s="339">
        <v>1416</v>
      </c>
      <c r="E46" s="339">
        <v>14250</v>
      </c>
      <c r="F46" s="339">
        <v>2625</v>
      </c>
      <c r="G46" s="339">
        <v>2709</v>
      </c>
      <c r="H46" s="339">
        <v>0</v>
      </c>
      <c r="I46" s="339"/>
      <c r="J46" s="351"/>
      <c r="K46" s="351"/>
      <c r="L46" s="351"/>
    </row>
    <row r="47" spans="1:12">
      <c r="A47" s="351"/>
      <c r="B47" s="338" t="s">
        <v>29</v>
      </c>
      <c r="C47" s="339">
        <f>SUM(D43:H46)</f>
        <v>318913.02470000001</v>
      </c>
      <c r="D47" s="189">
        <f>SUM(D43:D46)/$C47</f>
        <v>0.17307826488580538</v>
      </c>
      <c r="E47" s="189">
        <f>SUM(E43:E46)/$C47</f>
        <v>0.57261759224185116</v>
      </c>
      <c r="F47" s="189">
        <f>SUM(F43:F46)/$C47</f>
        <v>0.10578866320808503</v>
      </c>
      <c r="G47" s="189">
        <f>SUM(G43:G46)/$C47</f>
        <v>0.13150457205048735</v>
      </c>
      <c r="H47" s="189">
        <f>SUM(H43:H46)/$C47</f>
        <v>1.7010907613771095E-2</v>
      </c>
      <c r="I47" s="189"/>
      <c r="J47" s="351"/>
      <c r="K47" s="351"/>
      <c r="L47" s="351"/>
    </row>
    <row r="48" spans="1:12">
      <c r="A48" s="351"/>
      <c r="B48" s="338" t="s">
        <v>30</v>
      </c>
      <c r="C48" s="190"/>
      <c r="D48" s="189">
        <f>SUM(D43:D46)/($C47-SUM($H43:$H46))</f>
        <v>0.17607343380144114</v>
      </c>
      <c r="E48" s="189">
        <f>SUM(E43:E46)/($C47-SUM($H43:$H46))</f>
        <v>0.58252690358120718</v>
      </c>
      <c r="F48" s="189">
        <f>SUM(F43:F46)/($C47-SUM($H43:$H46))</f>
        <v>0.10761936630576498</v>
      </c>
      <c r="G48" s="189">
        <f>SUM(G43:G46)/($C47-SUM($H43:$H46))</f>
        <v>0.13378029631158669</v>
      </c>
      <c r="H48" s="189"/>
      <c r="I48" s="189"/>
      <c r="J48" s="351"/>
      <c r="K48" s="351"/>
      <c r="L48" s="351"/>
    </row>
    <row r="49" spans="1:12">
      <c r="A49" s="351"/>
      <c r="B49" s="132"/>
      <c r="C49" s="14"/>
      <c r="D49" s="14"/>
      <c r="E49" s="14"/>
      <c r="F49" s="14"/>
      <c r="G49" s="14"/>
      <c r="H49" s="14"/>
      <c r="I49" s="133"/>
      <c r="J49" s="351"/>
      <c r="K49" s="351"/>
      <c r="L49" s="351"/>
    </row>
    <row r="50" spans="1:12" ht="56.5">
      <c r="A50" s="182" t="s">
        <v>25</v>
      </c>
      <c r="B50" s="182" t="s">
        <v>1516</v>
      </c>
      <c r="C50" s="217" t="s">
        <v>952</v>
      </c>
      <c r="D50" s="183">
        <v>39596.79847655</v>
      </c>
      <c r="E50" s="183">
        <v>101614.97441080998</v>
      </c>
      <c r="F50" s="183">
        <v>30405.987227029997</v>
      </c>
      <c r="G50" s="183">
        <v>29882.686585609998</v>
      </c>
      <c r="H50" s="183">
        <v>881</v>
      </c>
      <c r="I50" s="183">
        <v>0</v>
      </c>
      <c r="J50" s="850"/>
      <c r="K50" s="851"/>
      <c r="L50" s="851"/>
    </row>
    <row r="51" spans="1:12" ht="28.5">
      <c r="A51" s="351"/>
      <c r="B51" s="182" t="s">
        <v>1515</v>
      </c>
      <c r="C51" s="217"/>
      <c r="D51" s="183">
        <v>0</v>
      </c>
      <c r="E51" s="183">
        <v>0</v>
      </c>
      <c r="F51" s="183">
        <v>0</v>
      </c>
      <c r="G51" s="183">
        <v>0</v>
      </c>
      <c r="H51" s="183">
        <v>0</v>
      </c>
      <c r="I51" s="183"/>
      <c r="J51" s="351"/>
      <c r="K51" s="351"/>
      <c r="L51" s="351"/>
    </row>
    <row r="52" spans="1:12" s="351" customFormat="1" ht="28.5">
      <c r="B52" s="752" t="s">
        <v>1515</v>
      </c>
      <c r="C52" s="217"/>
      <c r="D52" s="183">
        <v>0</v>
      </c>
      <c r="E52" s="183">
        <v>0</v>
      </c>
      <c r="F52" s="183">
        <v>0</v>
      </c>
      <c r="G52" s="183">
        <v>0</v>
      </c>
      <c r="H52" s="183">
        <v>0</v>
      </c>
      <c r="I52" s="183"/>
    </row>
    <row r="53" spans="1:12">
      <c r="A53" s="351"/>
      <c r="B53" s="182" t="s">
        <v>29</v>
      </c>
      <c r="C53" s="183">
        <f>SUM(D50:I52)</f>
        <v>202381.4467</v>
      </c>
      <c r="D53" s="184">
        <f>SUM(D50:D52)/$C53</f>
        <v>0.19565429105389431</v>
      </c>
      <c r="E53" s="184">
        <f t="shared" ref="E53:G53" si="1">SUM(E50:E52)/$C53</f>
        <v>0.50209629423906077</v>
      </c>
      <c r="F53" s="184">
        <f t="shared" si="1"/>
        <v>0.15024098168495797</v>
      </c>
      <c r="G53" s="184">
        <f t="shared" si="1"/>
        <v>0.14765526718418304</v>
      </c>
      <c r="H53" s="184">
        <f t="shared" ref="H53" si="2">SUM(H50:H52)/$C53</f>
        <v>4.3531658379038557E-3</v>
      </c>
      <c r="I53" s="184">
        <f t="shared" ref="I53" si="3">SUM(I50:I52)/$C53</f>
        <v>0</v>
      </c>
      <c r="J53" s="351"/>
      <c r="K53" s="351"/>
      <c r="L53" s="351"/>
    </row>
    <row r="54" spans="1:12" ht="28.5">
      <c r="A54" s="351"/>
      <c r="B54" s="182" t="s">
        <v>31</v>
      </c>
      <c r="C54" s="185"/>
      <c r="D54" s="184">
        <f>SUM(D50:D52)/($C53-SUM($H50:$I52))</f>
        <v>0.19650973049952053</v>
      </c>
      <c r="E54" s="184">
        <f t="shared" ref="E54:G54" si="4">SUM(E50:E52)/($C53-SUM($H50:$I52))</f>
        <v>0.50429155902615663</v>
      </c>
      <c r="F54" s="184">
        <f t="shared" si="4"/>
        <v>0.15089786511639527</v>
      </c>
      <c r="G54" s="184">
        <f t="shared" si="4"/>
        <v>0.14830084535792742</v>
      </c>
      <c r="H54" s="184"/>
      <c r="I54" s="184"/>
      <c r="J54" s="351"/>
      <c r="K54" s="351"/>
      <c r="L54" s="351"/>
    </row>
    <row r="58" spans="1:12">
      <c r="B58" s="848" t="s">
        <v>32</v>
      </c>
      <c r="C58" s="848"/>
      <c r="D58" s="848"/>
      <c r="E58" s="848"/>
      <c r="F58" s="848"/>
      <c r="G58" s="351"/>
    </row>
    <row r="59" spans="1:12">
      <c r="B59" s="348"/>
      <c r="C59" s="346" t="s">
        <v>0</v>
      </c>
      <c r="D59" s="346" t="s">
        <v>1</v>
      </c>
      <c r="E59" s="346" t="s">
        <v>2</v>
      </c>
      <c r="F59" s="346" t="s">
        <v>3</v>
      </c>
      <c r="G59" s="351"/>
    </row>
    <row r="60" spans="1:12">
      <c r="B60" s="346" t="s">
        <v>33</v>
      </c>
      <c r="C60" s="344">
        <v>0.19800000000000001</v>
      </c>
      <c r="D60" s="344">
        <v>0.71199999999999997</v>
      </c>
      <c r="E60" s="344">
        <v>3.3000000000000002E-2</v>
      </c>
      <c r="F60" s="344">
        <v>5.7000000000000002E-2</v>
      </c>
      <c r="G60" s="351"/>
    </row>
    <row r="61" spans="1:12">
      <c r="B61" s="346" t="s">
        <v>34</v>
      </c>
      <c r="C61" s="344">
        <v>0.20949999999999999</v>
      </c>
      <c r="D61" s="344">
        <v>0.47689999999999999</v>
      </c>
      <c r="E61" s="344">
        <v>0.14849999999999999</v>
      </c>
      <c r="F61" s="344">
        <v>0.16500000000000001</v>
      </c>
      <c r="G61" s="351"/>
    </row>
    <row r="62" spans="1:12" ht="58">
      <c r="B62" s="345" t="s">
        <v>35</v>
      </c>
      <c r="C62" s="344">
        <v>0.20169999999999999</v>
      </c>
      <c r="D62" s="344">
        <v>0.49640000000000001</v>
      </c>
      <c r="E62" s="344">
        <v>0.14299999999999999</v>
      </c>
      <c r="F62" s="344">
        <v>0.15890000000000001</v>
      </c>
      <c r="G62" s="351"/>
    </row>
    <row r="63" spans="1:12" ht="29">
      <c r="B63" s="345" t="s">
        <v>36</v>
      </c>
      <c r="C63" s="344">
        <v>0.20118156319810254</v>
      </c>
      <c r="D63" s="344">
        <v>0.52872317769381394</v>
      </c>
      <c r="E63" s="344">
        <v>0.12651671447088997</v>
      </c>
      <c r="F63" s="344">
        <v>0.14357854463719352</v>
      </c>
      <c r="G63" s="351"/>
    </row>
    <row r="64" spans="1:12" ht="29">
      <c r="B64" s="345" t="s">
        <v>37</v>
      </c>
      <c r="C64" s="344">
        <v>0.20099441242174357</v>
      </c>
      <c r="D64" s="344">
        <v>0.53950416724123673</v>
      </c>
      <c r="E64" s="344">
        <v>0.12101573126671998</v>
      </c>
      <c r="F64" s="344">
        <v>0.13848568907029979</v>
      </c>
      <c r="G64" s="351" t="s">
        <v>38</v>
      </c>
    </row>
    <row r="65" spans="2:7" ht="29">
      <c r="B65" s="345" t="s">
        <v>39</v>
      </c>
      <c r="C65" s="344">
        <v>0.20080726164538459</v>
      </c>
      <c r="D65" s="344">
        <v>0.5502851567886593</v>
      </c>
      <c r="E65" s="344">
        <v>0.11551474806254999</v>
      </c>
      <c r="F65" s="344">
        <v>0.13339283350340606</v>
      </c>
      <c r="G65" s="351" t="s">
        <v>38</v>
      </c>
    </row>
  </sheetData>
  <mergeCells count="5">
    <mergeCell ref="B58:F58"/>
    <mergeCell ref="A31:C31"/>
    <mergeCell ref="J50:L50"/>
    <mergeCell ref="B18:B19"/>
    <mergeCell ref="K19:P22"/>
  </mergeCells>
  <printOptions horizontalCentered="1"/>
  <pageMargins left="0.2" right="0.2" top="0.5" bottom="0.5" header="0.3" footer="0.3"/>
  <pageSetup scale="79" fitToHeight="0" orientation="landscape" r:id="rId1"/>
  <headerFooter>
    <oddHeader xml:space="preserve">&amp;CDRAFT NOT FOR DISTRIBUTION, INTERNAL USE ONLY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C68"/>
  <sheetViews>
    <sheetView topLeftCell="B61" zoomScaleNormal="100" workbookViewId="0">
      <selection activeCell="B69" sqref="B69"/>
    </sheetView>
  </sheetViews>
  <sheetFormatPr defaultColWidth="9.1796875" defaultRowHeight="12.5"/>
  <cols>
    <col min="1" max="1" width="15" style="62" customWidth="1"/>
    <col min="2" max="2" width="13.1796875" style="62" customWidth="1"/>
    <col min="3" max="3" width="109.7265625" style="62" customWidth="1"/>
    <col min="4" max="13" width="9.1796875" style="62"/>
    <col min="14" max="14" width="23.453125" style="62" customWidth="1"/>
    <col min="15" max="16384" width="9.1796875" style="62"/>
  </cols>
  <sheetData>
    <row r="2" spans="2:3">
      <c r="B2" s="62" t="s">
        <v>40</v>
      </c>
      <c r="C2" s="62" t="s">
        <v>41</v>
      </c>
    </row>
    <row r="3" spans="2:3" s="633" customFormat="1">
      <c r="B3" s="275">
        <v>44875</v>
      </c>
      <c r="C3" s="633" t="s">
        <v>999</v>
      </c>
    </row>
    <row r="4" spans="2:3" s="633" customFormat="1">
      <c r="B4" s="769">
        <v>45005</v>
      </c>
      <c r="C4" s="633" t="s">
        <v>1176</v>
      </c>
    </row>
    <row r="5" spans="2:3" s="633" customFormat="1">
      <c r="B5" s="787" t="s">
        <v>1332</v>
      </c>
      <c r="C5" s="633" t="s">
        <v>1177</v>
      </c>
    </row>
    <row r="6" spans="2:3" s="633" customFormat="1">
      <c r="B6" s="769">
        <v>45078</v>
      </c>
      <c r="C6" s="633" t="s">
        <v>42</v>
      </c>
    </row>
    <row r="7" spans="2:3" s="633" customFormat="1">
      <c r="B7" s="769">
        <v>45134</v>
      </c>
      <c r="C7" s="633" t="s">
        <v>1000</v>
      </c>
    </row>
    <row r="8" spans="2:3" s="633" customFormat="1">
      <c r="B8" s="769">
        <v>45134</v>
      </c>
      <c r="C8" s="633" t="s">
        <v>43</v>
      </c>
    </row>
    <row r="9" spans="2:3" s="633" customFormat="1">
      <c r="B9" s="755">
        <v>45134</v>
      </c>
      <c r="C9" s="754" t="s">
        <v>1335</v>
      </c>
    </row>
    <row r="10" spans="2:3">
      <c r="B10" s="753">
        <v>45135</v>
      </c>
      <c r="C10" s="754" t="s">
        <v>1339</v>
      </c>
    </row>
    <row r="11" spans="2:3">
      <c r="B11" s="63">
        <v>45145</v>
      </c>
      <c r="C11" s="64" t="s">
        <v>1355</v>
      </c>
    </row>
    <row r="12" spans="2:3">
      <c r="B12" s="383">
        <v>45152</v>
      </c>
      <c r="C12" s="634" t="s">
        <v>1356</v>
      </c>
    </row>
    <row r="13" spans="2:3">
      <c r="B13" s="814">
        <v>45155</v>
      </c>
      <c r="C13" s="375" t="s">
        <v>1359</v>
      </c>
    </row>
    <row r="14" spans="2:3">
      <c r="B14" s="814">
        <v>45156</v>
      </c>
      <c r="C14" s="375" t="s">
        <v>1363</v>
      </c>
    </row>
    <row r="15" spans="2:3">
      <c r="B15" s="814">
        <v>45160</v>
      </c>
      <c r="C15" s="375" t="s">
        <v>1365</v>
      </c>
    </row>
    <row r="16" spans="2:3">
      <c r="B16" s="814">
        <v>45183</v>
      </c>
      <c r="C16" s="375" t="s">
        <v>1357</v>
      </c>
    </row>
    <row r="17" spans="2:3">
      <c r="B17" s="63">
        <v>45202</v>
      </c>
      <c r="C17" s="64" t="s">
        <v>1395</v>
      </c>
    </row>
    <row r="18" spans="2:3">
      <c r="B18" s="63">
        <v>45217</v>
      </c>
      <c r="C18" s="64" t="s">
        <v>1398</v>
      </c>
    </row>
    <row r="19" spans="2:3">
      <c r="B19" s="63">
        <v>45218</v>
      </c>
      <c r="C19" s="64" t="s">
        <v>1396</v>
      </c>
    </row>
    <row r="20" spans="2:3">
      <c r="B20" s="763">
        <v>45233</v>
      </c>
      <c r="C20" s="762" t="s">
        <v>1407</v>
      </c>
    </row>
    <row r="21" spans="2:3">
      <c r="B21" s="756">
        <v>45236</v>
      </c>
      <c r="C21" s="633" t="s">
        <v>1410</v>
      </c>
    </row>
    <row r="22" spans="2:3">
      <c r="B22" s="756">
        <v>45247</v>
      </c>
      <c r="C22" s="633" t="s">
        <v>1413</v>
      </c>
    </row>
    <row r="23" spans="2:3">
      <c r="B23" s="756">
        <v>45258</v>
      </c>
      <c r="C23" s="633" t="s">
        <v>1414</v>
      </c>
    </row>
    <row r="24" spans="2:3">
      <c r="B24" s="760">
        <v>45259</v>
      </c>
      <c r="C24" s="754" t="s">
        <v>1417</v>
      </c>
    </row>
    <row r="25" spans="2:3">
      <c r="B25" s="761">
        <v>45260</v>
      </c>
      <c r="C25" s="64" t="s">
        <v>1419</v>
      </c>
    </row>
    <row r="26" spans="2:3">
      <c r="B26" s="761">
        <v>45266</v>
      </c>
      <c r="C26" s="64" t="s">
        <v>1421</v>
      </c>
    </row>
    <row r="27" spans="2:3">
      <c r="B27" s="761">
        <v>45266</v>
      </c>
      <c r="C27" s="634" t="s">
        <v>1424</v>
      </c>
    </row>
    <row r="28" spans="2:3">
      <c r="B28" s="761">
        <v>45268</v>
      </c>
      <c r="C28" s="64" t="s">
        <v>1430</v>
      </c>
    </row>
    <row r="29" spans="2:3">
      <c r="B29" s="761">
        <v>45271</v>
      </c>
      <c r="C29" s="64" t="s">
        <v>1427</v>
      </c>
    </row>
    <row r="30" spans="2:3">
      <c r="B30" s="761">
        <v>45278</v>
      </c>
      <c r="C30" s="64" t="s">
        <v>1431</v>
      </c>
    </row>
    <row r="31" spans="2:3">
      <c r="B31" s="63">
        <v>45299</v>
      </c>
      <c r="C31" s="64" t="s">
        <v>1434</v>
      </c>
    </row>
    <row r="32" spans="2:3">
      <c r="B32" s="761">
        <v>45301</v>
      </c>
      <c r="C32" s="64" t="s">
        <v>1430</v>
      </c>
    </row>
    <row r="33" spans="2:3">
      <c r="B33" s="761">
        <v>45302</v>
      </c>
      <c r="C33" s="64" t="s">
        <v>1430</v>
      </c>
    </row>
    <row r="34" spans="2:3">
      <c r="B34" s="761">
        <v>45310</v>
      </c>
      <c r="C34" s="64" t="s">
        <v>1438</v>
      </c>
    </row>
    <row r="35" spans="2:3">
      <c r="B35" s="761">
        <v>45314</v>
      </c>
      <c r="C35" s="633" t="s">
        <v>1441</v>
      </c>
    </row>
    <row r="36" spans="2:3">
      <c r="B36" s="761">
        <v>45315</v>
      </c>
      <c r="C36" s="64" t="s">
        <v>1443</v>
      </c>
    </row>
    <row r="37" spans="2:3">
      <c r="B37" s="761">
        <v>45324</v>
      </c>
      <c r="C37" s="64" t="s">
        <v>1444</v>
      </c>
    </row>
    <row r="38" spans="2:3">
      <c r="B38" s="761">
        <v>45327</v>
      </c>
      <c r="C38" s="64" t="s">
        <v>1448</v>
      </c>
    </row>
    <row r="39" spans="2:3">
      <c r="B39" s="761">
        <v>45331</v>
      </c>
      <c r="C39" s="64" t="s">
        <v>1460</v>
      </c>
    </row>
    <row r="40" spans="2:3">
      <c r="B40" s="761">
        <v>45334</v>
      </c>
      <c r="C40" s="64" t="s">
        <v>1454</v>
      </c>
    </row>
    <row r="41" spans="2:3">
      <c r="B41" s="761">
        <v>45335</v>
      </c>
      <c r="C41" s="64" t="s">
        <v>1467</v>
      </c>
    </row>
    <row r="42" spans="2:3">
      <c r="B42" s="761">
        <v>45338</v>
      </c>
      <c r="C42" s="64" t="s">
        <v>1472</v>
      </c>
    </row>
    <row r="43" spans="2:3">
      <c r="B43" s="63">
        <v>45343</v>
      </c>
      <c r="C43" s="64" t="s">
        <v>1474</v>
      </c>
    </row>
    <row r="44" spans="2:3">
      <c r="B44" s="63">
        <v>45350</v>
      </c>
      <c r="C44" s="64" t="s">
        <v>1483</v>
      </c>
    </row>
    <row r="45" spans="2:3">
      <c r="B45" s="761">
        <v>45351</v>
      </c>
      <c r="C45" s="64" t="s">
        <v>1484</v>
      </c>
    </row>
    <row r="46" spans="2:3">
      <c r="B46" s="764">
        <v>45352</v>
      </c>
      <c r="C46" s="375" t="s">
        <v>1487</v>
      </c>
    </row>
    <row r="47" spans="2:3">
      <c r="B47" s="63">
        <v>45357</v>
      </c>
      <c r="C47" s="633" t="s">
        <v>1490</v>
      </c>
    </row>
    <row r="48" spans="2:3" s="633" customFormat="1">
      <c r="B48" s="275">
        <v>45359</v>
      </c>
      <c r="C48" s="633" t="s">
        <v>1493</v>
      </c>
    </row>
    <row r="49" spans="2:3">
      <c r="B49" s="63">
        <v>45361</v>
      </c>
      <c r="C49" s="64" t="s">
        <v>1494</v>
      </c>
    </row>
    <row r="50" spans="2:3">
      <c r="B50" s="63">
        <v>45363</v>
      </c>
      <c r="C50" s="64" t="s">
        <v>1495</v>
      </c>
    </row>
    <row r="51" spans="2:3">
      <c r="B51" s="63">
        <v>45364</v>
      </c>
      <c r="C51" s="64" t="s">
        <v>1498</v>
      </c>
    </row>
    <row r="52" spans="2:3">
      <c r="B52" s="63">
        <v>45365</v>
      </c>
      <c r="C52" s="64" t="s">
        <v>1508</v>
      </c>
    </row>
    <row r="53" spans="2:3">
      <c r="B53" s="63">
        <v>45366</v>
      </c>
      <c r="C53" s="64" t="s">
        <v>1523</v>
      </c>
    </row>
    <row r="54" spans="2:3">
      <c r="B54" s="63">
        <v>45372</v>
      </c>
      <c r="C54" s="64" t="s">
        <v>1517</v>
      </c>
    </row>
    <row r="55" spans="2:3">
      <c r="C55" s="64" t="s">
        <v>1522</v>
      </c>
    </row>
    <row r="56" spans="2:3">
      <c r="B56" s="63">
        <v>45378</v>
      </c>
      <c r="C56" s="64" t="s">
        <v>1527</v>
      </c>
    </row>
    <row r="57" spans="2:3">
      <c r="B57" s="63">
        <v>45386</v>
      </c>
      <c r="C57" s="64" t="s">
        <v>1534</v>
      </c>
    </row>
    <row r="58" spans="2:3">
      <c r="B58" s="63">
        <v>45387</v>
      </c>
      <c r="C58" s="64" t="s">
        <v>1544</v>
      </c>
    </row>
    <row r="59" spans="2:3">
      <c r="C59" s="64" t="s">
        <v>1547</v>
      </c>
    </row>
    <row r="60" spans="2:3">
      <c r="B60" s="63">
        <v>45390</v>
      </c>
      <c r="C60" s="64" t="s">
        <v>1560</v>
      </c>
    </row>
    <row r="61" spans="2:3">
      <c r="B61" s="844">
        <v>45392</v>
      </c>
      <c r="C61" s="64" t="s">
        <v>1431</v>
      </c>
    </row>
    <row r="62" spans="2:3">
      <c r="B62" s="844">
        <v>45393</v>
      </c>
      <c r="C62" s="64" t="s">
        <v>1565</v>
      </c>
    </row>
    <row r="63" spans="2:3">
      <c r="B63" s="844">
        <v>45394</v>
      </c>
      <c r="C63" s="64" t="s">
        <v>1567</v>
      </c>
    </row>
    <row r="64" spans="2:3">
      <c r="B64" s="844">
        <v>45398</v>
      </c>
      <c r="C64" s="64" t="s">
        <v>1563</v>
      </c>
    </row>
    <row r="65" spans="2:3">
      <c r="B65" s="63">
        <v>45401</v>
      </c>
      <c r="C65" s="64" t="s">
        <v>1569</v>
      </c>
    </row>
    <row r="66" spans="2:3">
      <c r="B66" s="63">
        <v>45405</v>
      </c>
      <c r="C66" s="64" t="s">
        <v>1583</v>
      </c>
    </row>
    <row r="67" spans="2:3" ht="25">
      <c r="B67" s="383">
        <v>45406</v>
      </c>
      <c r="C67" s="375" t="s">
        <v>1585</v>
      </c>
    </row>
    <row r="68" spans="2:3">
      <c r="B68" s="63">
        <v>45411</v>
      </c>
      <c r="C68" s="64" t="s">
        <v>1587</v>
      </c>
    </row>
  </sheetData>
  <pageMargins left="0.7" right="0.7" top="0.75" bottom="0.75" header="0.3" footer="0.3"/>
  <pageSetup scale="72" orientation="landscape" r:id="rId1"/>
  <headerFooter>
    <oddHeader xml:space="preserve">&amp;CDRAFT NOT FOR DISTRIBUTION, INTERNAL USE ONLY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T303"/>
  <sheetViews>
    <sheetView tabSelected="1" zoomScaleNormal="100" workbookViewId="0"/>
  </sheetViews>
  <sheetFormatPr defaultRowHeight="14.5"/>
  <cols>
    <col min="1" max="1" width="64" customWidth="1"/>
    <col min="2" max="2" width="12.453125" customWidth="1"/>
    <col min="3" max="3" width="13.26953125" customWidth="1"/>
    <col min="4" max="4" width="13.54296875" bestFit="1" customWidth="1"/>
    <col min="5" max="5" width="14.54296875" bestFit="1" customWidth="1"/>
    <col min="6" max="6" width="12.7265625" customWidth="1"/>
    <col min="7" max="7" width="12.26953125" customWidth="1"/>
    <col min="8" max="8" width="12.453125" bestFit="1" customWidth="1"/>
    <col min="9" max="9" width="13.26953125" bestFit="1" customWidth="1"/>
    <col min="10" max="10" width="14.54296875" bestFit="1" customWidth="1"/>
    <col min="11" max="11" width="11.26953125" customWidth="1"/>
    <col min="12" max="12" width="9.1796875" bestFit="1" customWidth="1"/>
    <col min="14" max="14" width="23.453125" customWidth="1"/>
    <col min="15" max="15" width="13" customWidth="1"/>
  </cols>
  <sheetData>
    <row r="1" spans="1:18" ht="28.5" thickBot="1">
      <c r="A1" s="20" t="s">
        <v>44</v>
      </c>
      <c r="B1" s="21" t="s">
        <v>1001</v>
      </c>
      <c r="C1" s="21" t="s">
        <v>1491</v>
      </c>
      <c r="D1" s="22"/>
      <c r="E1" s="23"/>
      <c r="F1" s="23"/>
      <c r="G1" s="23"/>
      <c r="H1" s="23"/>
      <c r="I1" s="24"/>
      <c r="J1" s="21" t="s">
        <v>1574</v>
      </c>
      <c r="K1" s="53" t="s">
        <v>45</v>
      </c>
      <c r="L1" s="53"/>
      <c r="M1" s="53"/>
      <c r="N1" s="53"/>
      <c r="O1" s="370"/>
      <c r="P1" s="370"/>
      <c r="Q1" s="370"/>
      <c r="R1" s="370"/>
    </row>
    <row r="2" spans="1:18" ht="16" thickTop="1">
      <c r="A2" s="25" t="s">
        <v>46</v>
      </c>
      <c r="B2" s="26"/>
      <c r="C2" s="26"/>
      <c r="D2" s="221" t="s">
        <v>0</v>
      </c>
      <c r="E2" s="221" t="s">
        <v>1</v>
      </c>
      <c r="F2" s="221" t="s">
        <v>2</v>
      </c>
      <c r="G2" s="221" t="s">
        <v>3</v>
      </c>
      <c r="H2" s="221" t="s">
        <v>4</v>
      </c>
      <c r="I2" s="221" t="s">
        <v>26</v>
      </c>
      <c r="J2" s="221" t="s">
        <v>5</v>
      </c>
      <c r="K2" s="370">
        <f>ROUND(64/365,4)</f>
        <v>0.17530000000000001</v>
      </c>
      <c r="L2" s="370"/>
      <c r="M2" s="370"/>
      <c r="N2" s="370"/>
      <c r="O2" s="370"/>
      <c r="P2" s="370"/>
      <c r="Q2" s="370"/>
      <c r="R2" s="370"/>
    </row>
    <row r="3" spans="1:18">
      <c r="A3" s="349" t="s">
        <v>1002</v>
      </c>
      <c r="B3" s="350">
        <v>370543</v>
      </c>
      <c r="C3" s="350">
        <f>+B7</f>
        <v>381816</v>
      </c>
      <c r="D3" s="27"/>
      <c r="E3" s="27"/>
      <c r="F3" s="27"/>
      <c r="G3" s="27"/>
      <c r="H3" s="27"/>
      <c r="I3" s="27"/>
      <c r="J3" s="27"/>
      <c r="K3" s="370"/>
      <c r="L3" s="370"/>
      <c r="M3" s="370"/>
      <c r="N3" s="370"/>
      <c r="O3" s="370"/>
      <c r="P3" s="370"/>
      <c r="Q3" s="370"/>
      <c r="R3" s="370"/>
    </row>
    <row r="4" spans="1:18">
      <c r="A4" s="28" t="s">
        <v>1500</v>
      </c>
      <c r="B4" s="350">
        <v>12723</v>
      </c>
      <c r="C4" s="350">
        <v>19363</v>
      </c>
      <c r="D4" s="27"/>
      <c r="E4" s="27"/>
      <c r="F4" s="27"/>
      <c r="G4" s="27"/>
      <c r="H4" s="27"/>
      <c r="I4" s="27"/>
      <c r="J4" s="27"/>
      <c r="K4" s="370"/>
      <c r="L4" s="370"/>
      <c r="M4" s="370"/>
      <c r="N4" s="370"/>
      <c r="O4" s="370"/>
      <c r="P4" s="370"/>
      <c r="Q4" s="370"/>
      <c r="R4" s="370"/>
    </row>
    <row r="5" spans="1:18">
      <c r="A5" s="28" t="s">
        <v>1501</v>
      </c>
      <c r="B5" s="350">
        <f>11273-12723</f>
        <v>-1450</v>
      </c>
      <c r="C5" s="350">
        <v>91185</v>
      </c>
      <c r="D5" s="27"/>
      <c r="E5" s="27"/>
      <c r="F5" s="27"/>
      <c r="G5" s="27"/>
      <c r="H5" s="27"/>
      <c r="I5" s="27"/>
      <c r="J5" s="27"/>
      <c r="K5" s="370"/>
      <c r="L5" s="370"/>
      <c r="M5" s="370"/>
      <c r="N5" s="370"/>
      <c r="O5" s="370"/>
      <c r="P5" s="370"/>
      <c r="Q5" s="370"/>
      <c r="R5" s="370"/>
    </row>
    <row r="6" spans="1:18">
      <c r="A6" s="28" t="s">
        <v>1502</v>
      </c>
      <c r="B6" s="350">
        <f>-B3*0</f>
        <v>0</v>
      </c>
      <c r="C6" s="350">
        <f>-C3*0</f>
        <v>0</v>
      </c>
      <c r="D6" s="27"/>
      <c r="E6" s="27"/>
      <c r="F6" s="27"/>
      <c r="G6" s="27"/>
      <c r="H6" s="27"/>
      <c r="I6" s="27"/>
      <c r="J6" s="27"/>
      <c r="K6" s="370"/>
      <c r="L6" s="370"/>
      <c r="M6" s="370"/>
      <c r="N6" s="370"/>
      <c r="O6" s="370"/>
      <c r="P6" s="370"/>
      <c r="Q6" s="370"/>
      <c r="R6" s="370"/>
    </row>
    <row r="7" spans="1:18">
      <c r="A7" s="349" t="s">
        <v>1503</v>
      </c>
      <c r="B7" s="350">
        <f>SUM(B3:B6)</f>
        <v>381816</v>
      </c>
      <c r="C7" s="350">
        <f>SUM(C3:C6)</f>
        <v>492364</v>
      </c>
      <c r="D7" s="27"/>
      <c r="E7" s="27"/>
      <c r="F7" s="27"/>
      <c r="G7" s="27"/>
      <c r="H7" s="27"/>
      <c r="I7" s="27"/>
      <c r="J7" s="27"/>
      <c r="K7" s="370"/>
      <c r="L7" s="370"/>
      <c r="M7" s="370"/>
      <c r="N7" s="370"/>
      <c r="O7" s="370"/>
      <c r="P7" s="370"/>
      <c r="Q7" s="370"/>
      <c r="R7" s="370"/>
    </row>
    <row r="8" spans="1:18">
      <c r="A8" s="349" t="s">
        <v>47</v>
      </c>
      <c r="B8" s="350">
        <v>70128.660199999998</v>
      </c>
      <c r="C8" s="350">
        <f>'DOI Prog&amp;SLA Summary'!K17</f>
        <v>69548.746599999999</v>
      </c>
      <c r="D8" s="353">
        <f>'DOI Prog&amp;SLA Summary'!E17</f>
        <v>22313.005614644037</v>
      </c>
      <c r="E8" s="353">
        <f>'DOI Prog&amp;SLA Summary'!F17</f>
        <v>31958.47693002738</v>
      </c>
      <c r="F8" s="353">
        <f>'DOI Prog&amp;SLA Summary'!G17</f>
        <v>515.33422565614194</v>
      </c>
      <c r="G8" s="353">
        <f>'DOI Prog&amp;SLA Summary'!H17</f>
        <v>6667.6848296724429</v>
      </c>
      <c r="H8" s="353">
        <f>'DOI Prog&amp;SLA Summary'!I17</f>
        <v>6645</v>
      </c>
      <c r="I8" s="353">
        <f>'DOI Prog&amp;SLA Summary'!J17</f>
        <v>1449.2449999999999</v>
      </c>
      <c r="J8" s="353">
        <f>SUM(D8:I8)</f>
        <v>69548.746599999999</v>
      </c>
      <c r="K8" s="370"/>
      <c r="L8" s="370"/>
      <c r="M8" s="370"/>
      <c r="N8" s="370"/>
      <c r="O8" s="370"/>
      <c r="P8" s="370"/>
      <c r="Q8" s="370"/>
      <c r="R8" s="370"/>
    </row>
    <row r="9" spans="1:18">
      <c r="A9" s="3" t="s">
        <v>48</v>
      </c>
      <c r="B9" s="16">
        <f>B7-B8</f>
        <v>311687.33980000002</v>
      </c>
      <c r="C9" s="16">
        <f>C7-C8</f>
        <v>422815.25339999999</v>
      </c>
      <c r="D9" s="286"/>
      <c r="E9" s="286"/>
      <c r="F9" s="286"/>
      <c r="G9" s="286"/>
      <c r="H9" s="286"/>
      <c r="I9" s="286"/>
      <c r="J9" s="286"/>
      <c r="K9" s="370"/>
      <c r="L9" s="370"/>
      <c r="M9" s="370"/>
      <c r="N9" s="370"/>
      <c r="O9" s="370"/>
      <c r="P9" s="370"/>
      <c r="Q9" s="370"/>
      <c r="R9" s="370"/>
    </row>
    <row r="10" spans="1:18" s="7" customFormat="1">
      <c r="A10" s="4" t="s">
        <v>49</v>
      </c>
      <c r="B10" s="5"/>
      <c r="C10" s="5"/>
      <c r="D10" s="354">
        <f>+'Prep%Fuelspercentage.direct'!D48</f>
        <v>0.17607343380144114</v>
      </c>
      <c r="E10" s="354">
        <f>+'Prep%Fuelspercentage.direct'!E48</f>
        <v>0.58252690358120718</v>
      </c>
      <c r="F10" s="354">
        <f>+'Prep%Fuelspercentage.direct'!F48</f>
        <v>0.10761936630576498</v>
      </c>
      <c r="G10" s="354">
        <f>+'Prep%Fuelspercentage.direct'!G48</f>
        <v>0.13378029631158669</v>
      </c>
      <c r="H10" s="287"/>
      <c r="I10" s="287"/>
      <c r="J10" s="288"/>
      <c r="K10" s="53" t="s">
        <v>50</v>
      </c>
      <c r="L10" s="360"/>
      <c r="M10" s="360"/>
      <c r="N10" s="360"/>
      <c r="O10" s="360"/>
      <c r="P10" s="361"/>
      <c r="Q10" s="361"/>
      <c r="R10" s="361"/>
    </row>
    <row r="11" spans="1:18" s="341" customFormat="1">
      <c r="A11" s="349" t="s">
        <v>51</v>
      </c>
      <c r="B11" s="350">
        <v>12723</v>
      </c>
      <c r="C11" s="350">
        <f>'Prep%Fuelspercentage.direct'!C4</f>
        <v>19363</v>
      </c>
      <c r="D11" s="350">
        <f>'Prep%Fuelspercentage.direct'!D4</f>
        <v>2475.7172188520767</v>
      </c>
      <c r="E11" s="350">
        <f>'Prep%Fuelspercentage.direct'!E4</f>
        <v>12523.153523098461</v>
      </c>
      <c r="F11" s="350">
        <f>'Prep%Fuelspercentage.direct'!F4</f>
        <v>1526.9934671021933</v>
      </c>
      <c r="G11" s="350">
        <f>'Prep%Fuelspercentage.direct'!G4</f>
        <v>2575.1073261782549</v>
      </c>
      <c r="H11" s="350">
        <f>('Prep%Fuelspercentage.direct'!H4)</f>
        <v>262.02846476901539</v>
      </c>
      <c r="I11" s="350">
        <v>0</v>
      </c>
      <c r="J11" s="350">
        <f t="shared" ref="J11:J19" si="0">SUM(D11:I11)</f>
        <v>19363.000000000004</v>
      </c>
      <c r="K11" s="29"/>
      <c r="L11" s="29"/>
      <c r="M11" s="361"/>
      <c r="N11" s="29"/>
      <c r="O11" s="29"/>
      <c r="P11" s="29"/>
      <c r="Q11" s="29"/>
      <c r="R11" s="29"/>
    </row>
    <row r="12" spans="1:18" s="370" customFormat="1">
      <c r="A12" s="349" t="s">
        <v>1545</v>
      </c>
      <c r="B12" s="350">
        <v>0</v>
      </c>
      <c r="C12" s="350">
        <v>40000</v>
      </c>
      <c r="D12" s="350">
        <v>3806</v>
      </c>
      <c r="E12" s="350">
        <v>22516</v>
      </c>
      <c r="F12" s="350">
        <v>4670</v>
      </c>
      <c r="G12" s="350">
        <v>4800</v>
      </c>
      <c r="H12" s="350">
        <v>436</v>
      </c>
      <c r="I12" s="350">
        <f>+C12-SUM(D12:H12)</f>
        <v>3772</v>
      </c>
      <c r="J12" s="350">
        <f t="shared" si="0"/>
        <v>40000</v>
      </c>
      <c r="K12" s="29"/>
      <c r="L12" s="29"/>
      <c r="M12" s="361"/>
      <c r="N12" s="29"/>
      <c r="O12" s="29"/>
      <c r="P12" s="29"/>
      <c r="Q12" s="29"/>
      <c r="R12" s="29"/>
    </row>
    <row r="13" spans="1:18" s="370" customFormat="1">
      <c r="A13" s="349" t="s">
        <v>1568</v>
      </c>
      <c r="B13" s="350"/>
      <c r="C13" s="350">
        <v>10000</v>
      </c>
      <c r="D13" s="350">
        <f>ROUND(+D10*$C$13,0)</f>
        <v>1761</v>
      </c>
      <c r="E13" s="350">
        <f>ROUND(+E10*$C$13,0)</f>
        <v>5825</v>
      </c>
      <c r="F13" s="350">
        <f>ROUND(+F10*$C$13,0)</f>
        <v>1076</v>
      </c>
      <c r="G13" s="350">
        <f>ROUND(+G10*$C$13,0)</f>
        <v>1338</v>
      </c>
      <c r="H13" s="350"/>
      <c r="I13" s="350">
        <f>+C13-SUM(D13:H13)</f>
        <v>0</v>
      </c>
      <c r="J13" s="350">
        <f t="shared" si="0"/>
        <v>10000</v>
      </c>
      <c r="K13" s="29"/>
      <c r="L13" s="29"/>
      <c r="M13" s="361"/>
      <c r="N13" s="29"/>
      <c r="O13" s="29"/>
      <c r="P13" s="29"/>
      <c r="Q13" s="29"/>
      <c r="R13" s="29"/>
    </row>
    <row r="14" spans="1:18" s="370" customFormat="1">
      <c r="A14" s="349" t="s">
        <v>730</v>
      </c>
      <c r="B14" s="350">
        <v>7000</v>
      </c>
      <c r="C14" s="350">
        <v>0</v>
      </c>
      <c r="D14" s="350"/>
      <c r="E14" s="350"/>
      <c r="F14" s="350"/>
      <c r="G14" s="350"/>
      <c r="H14" s="350"/>
      <c r="I14" s="350"/>
      <c r="J14" s="350">
        <f t="shared" si="0"/>
        <v>0</v>
      </c>
      <c r="K14" s="29"/>
      <c r="L14" s="29"/>
      <c r="M14" s="361"/>
      <c r="N14" s="29"/>
      <c r="O14" s="29"/>
      <c r="P14" s="29"/>
      <c r="Q14" s="29"/>
      <c r="R14" s="29"/>
    </row>
    <row r="15" spans="1:18" s="370" customFormat="1">
      <c r="A15" s="349" t="s">
        <v>728</v>
      </c>
      <c r="B15" s="350">
        <v>15000</v>
      </c>
      <c r="C15" s="350">
        <v>0</v>
      </c>
      <c r="D15" s="350"/>
      <c r="E15" s="350"/>
      <c r="F15" s="350"/>
      <c r="G15" s="350"/>
      <c r="H15" s="350"/>
      <c r="I15" s="350">
        <v>0</v>
      </c>
      <c r="J15" s="350">
        <f t="shared" si="0"/>
        <v>0</v>
      </c>
      <c r="K15" s="29"/>
      <c r="L15" s="29"/>
      <c r="M15" s="361"/>
      <c r="N15" s="29"/>
      <c r="O15" s="29"/>
      <c r="P15" s="29"/>
      <c r="Q15" s="29"/>
      <c r="R15" s="29"/>
    </row>
    <row r="16" spans="1:18" s="370" customFormat="1">
      <c r="A16" s="349" t="s">
        <v>988</v>
      </c>
      <c r="B16" s="350">
        <v>14000</v>
      </c>
      <c r="C16" s="350">
        <f>+D16</f>
        <v>6000</v>
      </c>
      <c r="D16" s="350">
        <v>6000</v>
      </c>
      <c r="E16" s="350">
        <v>0</v>
      </c>
      <c r="F16" s="350">
        <v>0</v>
      </c>
      <c r="G16" s="350">
        <v>0</v>
      </c>
      <c r="H16" s="350">
        <v>0</v>
      </c>
      <c r="I16" s="350">
        <v>0</v>
      </c>
      <c r="J16" s="350">
        <f t="shared" si="0"/>
        <v>6000</v>
      </c>
      <c r="K16" s="29"/>
      <c r="L16" s="29"/>
      <c r="M16" s="361"/>
      <c r="N16" s="29"/>
      <c r="O16" s="29"/>
      <c r="P16" s="29"/>
      <c r="Q16" s="29"/>
      <c r="R16" s="29"/>
    </row>
    <row r="17" spans="1:18">
      <c r="A17" s="349" t="s">
        <v>53</v>
      </c>
      <c r="B17" s="350">
        <v>262964.33980000002</v>
      </c>
      <c r="C17" s="350">
        <f>C9-C11-C14-C15-C16-C12-C13</f>
        <v>347452.25339999999</v>
      </c>
      <c r="D17" s="350">
        <f>($C$17-$H17)*D10</f>
        <v>60190.924035464574</v>
      </c>
      <c r="E17" s="350">
        <f>(($C$17-$H17)*E10)</f>
        <v>199137.55212845662</v>
      </c>
      <c r="F17" s="350">
        <f>($C$17-$H17)*F10</f>
        <v>36789.815261739481</v>
      </c>
      <c r="G17" s="350">
        <f>($C$17-$H17)*G10</f>
        <v>45732.961974339305</v>
      </c>
      <c r="H17" s="350">
        <f>6084-262-221</f>
        <v>5601</v>
      </c>
      <c r="I17" s="350">
        <v>0</v>
      </c>
      <c r="J17" s="350">
        <f t="shared" si="0"/>
        <v>347452.25339999999</v>
      </c>
      <c r="K17" s="29"/>
      <c r="L17" s="29"/>
      <c r="M17" s="361"/>
      <c r="N17" s="29"/>
      <c r="O17" s="29"/>
      <c r="P17" s="29"/>
      <c r="Q17" s="29"/>
      <c r="R17" s="29"/>
    </row>
    <row r="18" spans="1:18" s="370" customFormat="1" hidden="1">
      <c r="A18" s="349" t="s">
        <v>54</v>
      </c>
      <c r="B18" s="350">
        <v>0</v>
      </c>
      <c r="C18" s="350"/>
      <c r="D18" s="350">
        <v>0</v>
      </c>
      <c r="E18" s="350">
        <v>0</v>
      </c>
      <c r="F18" s="350">
        <v>0</v>
      </c>
      <c r="G18" s="350">
        <v>0</v>
      </c>
      <c r="H18" s="350">
        <v>0</v>
      </c>
      <c r="I18" s="350">
        <v>0</v>
      </c>
      <c r="J18" s="350">
        <f t="shared" si="0"/>
        <v>0</v>
      </c>
      <c r="K18" s="29"/>
      <c r="L18" s="29"/>
      <c r="M18" s="29"/>
      <c r="N18" s="29"/>
      <c r="O18" s="29"/>
      <c r="P18" s="29"/>
      <c r="Q18" s="29"/>
      <c r="R18" s="29"/>
    </row>
    <row r="19" spans="1:18">
      <c r="A19" s="349" t="s">
        <v>55</v>
      </c>
      <c r="B19" s="350">
        <v>8908.8245999999999</v>
      </c>
      <c r="C19" s="350">
        <f>'DOI Prog&amp;SLA Summary'!D62</f>
        <v>8126.2911999999997</v>
      </c>
      <c r="D19" s="350">
        <f>'DOI Prog&amp;SLA Summary'!E62</f>
        <v>-1740.2527600000001</v>
      </c>
      <c r="E19" s="350">
        <f>'DOI Prog&amp;SLA Summary'!F62</f>
        <v>3638.2108040000003</v>
      </c>
      <c r="F19" s="350">
        <f>'DOI Prog&amp;SLA Summary'!G62</f>
        <v>-1177.272344</v>
      </c>
      <c r="G19" s="350">
        <f>'DOI Prog&amp;SLA Summary'!H62</f>
        <v>-1527.8979999999999</v>
      </c>
      <c r="H19" s="350">
        <f>('DOI Prog&amp;SLA Summary'!I62)+0.4</f>
        <v>498.4</v>
      </c>
      <c r="I19" s="350">
        <f>'DOI Prog&amp;SLA Summary'!J62</f>
        <v>309</v>
      </c>
      <c r="J19" s="350">
        <f t="shared" si="0"/>
        <v>0.18770000000029086</v>
      </c>
      <c r="K19" s="29"/>
      <c r="L19" s="29"/>
      <c r="M19" s="361"/>
      <c r="N19" s="29"/>
      <c r="O19" s="29"/>
      <c r="P19" s="29"/>
      <c r="Q19" s="29"/>
      <c r="R19" s="29"/>
    </row>
    <row r="20" spans="1:18" s="347" customFormat="1">
      <c r="A20" s="270" t="s">
        <v>56</v>
      </c>
      <c r="B20" s="350">
        <v>0</v>
      </c>
      <c r="C20" s="350">
        <v>0</v>
      </c>
      <c r="D20" s="350">
        <v>0</v>
      </c>
      <c r="E20" s="350">
        <v>0</v>
      </c>
      <c r="F20" s="350">
        <v>0</v>
      </c>
      <c r="G20" s="350">
        <v>0</v>
      </c>
      <c r="H20" s="350">
        <v>0</v>
      </c>
      <c r="I20" s="350">
        <v>0</v>
      </c>
      <c r="J20" s="350">
        <v>0</v>
      </c>
      <c r="K20" s="29"/>
      <c r="L20" s="29"/>
      <c r="M20" s="29"/>
      <c r="N20" s="29"/>
      <c r="O20" s="29"/>
      <c r="P20" s="29"/>
      <c r="Q20" s="29"/>
      <c r="R20" s="29"/>
    </row>
    <row r="21" spans="1:18">
      <c r="A21" s="349" t="s">
        <v>57</v>
      </c>
      <c r="B21" s="350"/>
      <c r="C21" s="350"/>
      <c r="D21" s="350">
        <f t="shared" ref="D21:I21" si="1">+D8+D11+D12+D14+D15+D16+D17+D18+D19+D20+D13</f>
        <v>94806.394108960681</v>
      </c>
      <c r="E21" s="350">
        <f t="shared" si="1"/>
        <v>275598.39338558243</v>
      </c>
      <c r="F21" s="350">
        <f t="shared" si="1"/>
        <v>43400.870610497819</v>
      </c>
      <c r="G21" s="350">
        <f t="shared" si="1"/>
        <v>59585.856130190004</v>
      </c>
      <c r="H21" s="350">
        <f t="shared" si="1"/>
        <v>13442.428464769015</v>
      </c>
      <c r="I21" s="350">
        <f t="shared" si="1"/>
        <v>5530.2449999999999</v>
      </c>
      <c r="J21" s="350">
        <f t="shared" ref="J21:J29" si="2">SUM(D21:I21)</f>
        <v>492364.18770000001</v>
      </c>
      <c r="K21" s="222"/>
      <c r="L21" s="29"/>
      <c r="M21" s="29"/>
      <c r="N21" s="29"/>
      <c r="O21" s="29"/>
      <c r="P21" s="29"/>
      <c r="Q21" s="29"/>
      <c r="R21" s="29"/>
    </row>
    <row r="22" spans="1:18">
      <c r="A22" s="142" t="s">
        <v>58</v>
      </c>
      <c r="B22" s="141"/>
      <c r="C22" s="141"/>
      <c r="D22" s="344">
        <f t="shared" ref="D22:I22" si="3">D21/$J$21</f>
        <v>0.19255339132570443</v>
      </c>
      <c r="E22" s="344">
        <f t="shared" si="3"/>
        <v>0.55974500231829605</v>
      </c>
      <c r="F22" s="344">
        <f t="shared" si="3"/>
        <v>8.8147902903413816E-2</v>
      </c>
      <c r="G22" s="344">
        <f t="shared" si="3"/>
        <v>0.12101988247466927</v>
      </c>
      <c r="H22" s="344">
        <f t="shared" si="3"/>
        <v>2.730179976647602E-2</v>
      </c>
      <c r="I22" s="344">
        <f t="shared" si="3"/>
        <v>1.1232021211440353E-2</v>
      </c>
      <c r="J22" s="274">
        <f t="shared" si="2"/>
        <v>1</v>
      </c>
      <c r="K22" s="29"/>
      <c r="L22" s="29"/>
      <c r="M22" s="29"/>
      <c r="N22" s="29"/>
      <c r="O22" s="29"/>
      <c r="P22" s="29"/>
      <c r="Q22" s="29"/>
      <c r="R22" s="29"/>
    </row>
    <row r="23" spans="1:18" s="29" customFormat="1">
      <c r="A23" s="142" t="s">
        <v>1620</v>
      </c>
      <c r="B23" s="152"/>
      <c r="C23" s="342">
        <v>77500</v>
      </c>
      <c r="D23" s="353"/>
      <c r="E23" s="353">
        <v>75000</v>
      </c>
      <c r="F23" s="353"/>
      <c r="G23" s="353"/>
      <c r="H23" s="353">
        <v>2500</v>
      </c>
      <c r="I23" s="353"/>
      <c r="J23" s="353">
        <f t="shared" si="2"/>
        <v>77500</v>
      </c>
    </row>
    <row r="24" spans="1:18" s="29" customFormat="1">
      <c r="A24" s="142" t="s">
        <v>1496</v>
      </c>
      <c r="B24" s="152"/>
      <c r="C24" s="342">
        <f>14624+40374</f>
        <v>54998</v>
      </c>
      <c r="D24" s="353">
        <v>12000</v>
      </c>
      <c r="E24" s="353">
        <v>27000</v>
      </c>
      <c r="F24" s="353">
        <v>7000</v>
      </c>
      <c r="G24" s="353">
        <v>7000</v>
      </c>
      <c r="H24" s="353">
        <v>1500</v>
      </c>
      <c r="I24" s="353">
        <f>+C24-SUM(D24:H24)</f>
        <v>498</v>
      </c>
      <c r="J24" s="353">
        <f t="shared" si="2"/>
        <v>54998</v>
      </c>
    </row>
    <row r="25" spans="1:18" s="29" customFormat="1">
      <c r="A25" s="142" t="s">
        <v>59</v>
      </c>
      <c r="B25" s="152"/>
      <c r="C25" s="342">
        <f>36540-38</f>
        <v>36502</v>
      </c>
      <c r="D25" s="353">
        <f>900+7000</f>
        <v>7900</v>
      </c>
      <c r="E25" s="353">
        <f>3500+25000</f>
        <v>28500</v>
      </c>
      <c r="F25" s="353">
        <f>900+3000</f>
        <v>3900</v>
      </c>
      <c r="G25" s="353">
        <f>900+5000</f>
        <v>5900</v>
      </c>
      <c r="H25" s="353">
        <f>50+290+1000</f>
        <v>1340</v>
      </c>
      <c r="I25" s="353">
        <f>+C25-SUM(D25:H25)</f>
        <v>-11038</v>
      </c>
      <c r="J25" s="353">
        <f t="shared" si="2"/>
        <v>36502</v>
      </c>
    </row>
    <row r="26" spans="1:18" s="29" customFormat="1">
      <c r="A26" s="142" t="s">
        <v>60</v>
      </c>
      <c r="B26" s="152"/>
      <c r="C26" s="342">
        <v>80334</v>
      </c>
      <c r="D26" s="353">
        <v>14000</v>
      </c>
      <c r="E26" s="353">
        <v>30000</v>
      </c>
      <c r="F26" s="353">
        <v>8000</v>
      </c>
      <c r="G26" s="353">
        <v>8000</v>
      </c>
      <c r="H26" s="353">
        <v>2900</v>
      </c>
      <c r="I26" s="353">
        <f>+C26-SUM(D26:H26)</f>
        <v>17434</v>
      </c>
      <c r="J26" s="353">
        <f t="shared" si="2"/>
        <v>80334</v>
      </c>
    </row>
    <row r="27" spans="1:18" s="29" customFormat="1" hidden="1">
      <c r="A27" s="142" t="s">
        <v>61</v>
      </c>
      <c r="B27" s="152"/>
      <c r="C27" s="342"/>
      <c r="D27" s="353"/>
      <c r="E27" s="353"/>
      <c r="F27" s="353"/>
      <c r="G27" s="353"/>
      <c r="H27" s="353"/>
      <c r="I27" s="353"/>
      <c r="J27" s="353">
        <f t="shared" si="2"/>
        <v>0</v>
      </c>
    </row>
    <row r="28" spans="1:18" s="29" customFormat="1" hidden="1">
      <c r="A28" s="142" t="s">
        <v>62</v>
      </c>
      <c r="B28" s="152"/>
      <c r="C28" s="342"/>
      <c r="D28" s="353"/>
      <c r="E28" s="353"/>
      <c r="F28" s="353"/>
      <c r="G28" s="353"/>
      <c r="H28" s="353"/>
      <c r="I28" s="353"/>
      <c r="J28" s="353">
        <f t="shared" si="2"/>
        <v>0</v>
      </c>
    </row>
    <row r="29" spans="1:18" s="29" customFormat="1">
      <c r="A29" s="142" t="s">
        <v>63</v>
      </c>
      <c r="B29" s="152"/>
      <c r="C29" s="342">
        <v>50056</v>
      </c>
      <c r="D29" s="353">
        <f>3000+800</f>
        <v>3800</v>
      </c>
      <c r="E29" s="353">
        <f>30000+1400+1400</f>
        <v>32800</v>
      </c>
      <c r="F29" s="353">
        <f>4000+325+325</f>
        <v>4650</v>
      </c>
      <c r="G29" s="353">
        <f>5000+780</f>
        <v>5780</v>
      </c>
      <c r="H29" s="353">
        <f>1500+510</f>
        <v>2010</v>
      </c>
      <c r="I29" s="353">
        <f>6556-1725-3815</f>
        <v>1016</v>
      </c>
      <c r="J29" s="353">
        <f t="shared" si="2"/>
        <v>50056</v>
      </c>
    </row>
    <row r="30" spans="1:18" s="149" customFormat="1">
      <c r="A30" s="143" t="s">
        <v>64</v>
      </c>
      <c r="B30" s="144"/>
      <c r="C30" s="145">
        <f>(C7)-C28-C29+C20-C26-C25-C24-C23</f>
        <v>192974</v>
      </c>
      <c r="D30" s="265">
        <f t="shared" ref="D30:J30" si="4">D21-D28-D29-D24-D23+D20-D25-D26-D27</f>
        <v>57106.394108960681</v>
      </c>
      <c r="E30" s="265">
        <f t="shared" si="4"/>
        <v>82298.393385582429</v>
      </c>
      <c r="F30" s="265">
        <f t="shared" si="4"/>
        <v>19850.870610497819</v>
      </c>
      <c r="G30" s="265">
        <f t="shared" si="4"/>
        <v>32905.856130190004</v>
      </c>
      <c r="H30" s="265">
        <f t="shared" si="4"/>
        <v>3192.4284647690147</v>
      </c>
      <c r="I30" s="265">
        <f t="shared" si="4"/>
        <v>-2379.755000000001</v>
      </c>
      <c r="J30" s="265">
        <f t="shared" si="4"/>
        <v>192974.18770000001</v>
      </c>
      <c r="K30" s="370"/>
      <c r="L30" s="370"/>
      <c r="M30" s="370"/>
      <c r="N30" s="370"/>
      <c r="O30" s="370"/>
      <c r="P30" s="370"/>
      <c r="Q30" s="370"/>
      <c r="R30" s="370"/>
    </row>
    <row r="31" spans="1:18" s="29" customFormat="1" ht="15" thickBot="1">
      <c r="A31" s="770" t="s">
        <v>65</v>
      </c>
      <c r="B31" s="152"/>
      <c r="C31" s="77">
        <f t="shared" ref="C31:I31" si="5">SUM(C23:C30)</f>
        <v>492364</v>
      </c>
      <c r="D31" s="153">
        <f t="shared" si="5"/>
        <v>94806.394108960681</v>
      </c>
      <c r="E31" s="153">
        <f t="shared" si="5"/>
        <v>275598.39338558243</v>
      </c>
      <c r="F31" s="153">
        <f t="shared" si="5"/>
        <v>43400.870610497819</v>
      </c>
      <c r="G31" s="153">
        <f t="shared" si="5"/>
        <v>59585.856130190004</v>
      </c>
      <c r="H31" s="153">
        <f t="shared" si="5"/>
        <v>13442.428464769015</v>
      </c>
      <c r="I31" s="153">
        <f t="shared" si="5"/>
        <v>5530.244999999999</v>
      </c>
      <c r="J31" s="153">
        <f>SUM(D31:I31)</f>
        <v>492364.18770000001</v>
      </c>
      <c r="K31" s="370"/>
    </row>
    <row r="32" spans="1:18" ht="16" thickTop="1">
      <c r="A32" s="25" t="s">
        <v>66</v>
      </c>
      <c r="B32" s="26"/>
      <c r="C32" s="26"/>
      <c r="D32" s="221" t="s">
        <v>0</v>
      </c>
      <c r="E32" s="221" t="s">
        <v>1</v>
      </c>
      <c r="F32" s="221" t="s">
        <v>2</v>
      </c>
      <c r="G32" s="221" t="s">
        <v>3</v>
      </c>
      <c r="H32" s="221" t="s">
        <v>4</v>
      </c>
      <c r="I32" s="221" t="s">
        <v>26</v>
      </c>
      <c r="J32" s="221" t="s">
        <v>5</v>
      </c>
      <c r="K32" s="370"/>
      <c r="L32" s="370"/>
      <c r="M32" s="370"/>
      <c r="N32" s="370"/>
      <c r="O32" s="370"/>
      <c r="P32" s="370"/>
      <c r="Q32" s="370"/>
      <c r="R32" s="370"/>
    </row>
    <row r="33" spans="1:18">
      <c r="A33" s="349" t="s">
        <v>1002</v>
      </c>
      <c r="B33" s="350">
        <v>383657</v>
      </c>
      <c r="C33" s="350">
        <f>+B37</f>
        <v>0</v>
      </c>
      <c r="D33" s="27"/>
      <c r="E33" s="27"/>
      <c r="F33" s="27"/>
      <c r="G33" s="27"/>
      <c r="H33" s="27"/>
      <c r="I33" s="27"/>
      <c r="J33" s="27"/>
      <c r="K33" s="370"/>
      <c r="L33" s="370"/>
      <c r="M33" s="370"/>
      <c r="N33" s="370"/>
      <c r="O33" s="370"/>
      <c r="P33" s="370"/>
      <c r="Q33" s="370"/>
      <c r="R33" s="370"/>
    </row>
    <row r="34" spans="1:18" s="149" customFormat="1">
      <c r="A34" s="28" t="s">
        <v>1500</v>
      </c>
      <c r="B34" s="16">
        <v>0</v>
      </c>
      <c r="C34" s="350"/>
      <c r="D34" s="27"/>
      <c r="E34" s="27"/>
      <c r="F34" s="27"/>
      <c r="G34" s="27"/>
      <c r="H34" s="27"/>
      <c r="I34" s="27"/>
      <c r="J34" s="27"/>
      <c r="K34" s="370"/>
      <c r="L34" s="370"/>
      <c r="M34" s="370"/>
      <c r="N34" s="370"/>
      <c r="O34" s="370"/>
      <c r="P34" s="370"/>
      <c r="Q34" s="370"/>
      <c r="R34" s="370"/>
    </row>
    <row r="35" spans="1:18">
      <c r="A35" s="28" t="s">
        <v>1504</v>
      </c>
      <c r="B35" s="350">
        <v>-383657</v>
      </c>
      <c r="C35" s="350">
        <v>383657</v>
      </c>
      <c r="D35" s="27"/>
      <c r="E35" s="27"/>
      <c r="F35" s="27"/>
      <c r="G35" s="27"/>
      <c r="H35" s="27"/>
      <c r="I35" s="27"/>
      <c r="J35" s="27"/>
      <c r="K35" s="370"/>
      <c r="L35" s="370"/>
      <c r="M35" s="370"/>
      <c r="N35" s="370"/>
      <c r="O35" s="370"/>
      <c r="P35" s="370"/>
      <c r="Q35" s="370"/>
      <c r="R35" s="370"/>
    </row>
    <row r="36" spans="1:18">
      <c r="A36" s="28" t="s">
        <v>1502</v>
      </c>
      <c r="B36" s="350">
        <v>0</v>
      </c>
      <c r="C36" s="350">
        <f>-C33*0</f>
        <v>0</v>
      </c>
      <c r="D36" s="27"/>
      <c r="E36" s="27"/>
      <c r="F36" s="27"/>
      <c r="G36" s="27"/>
      <c r="H36" s="27"/>
      <c r="I36" s="27"/>
      <c r="J36" s="27"/>
      <c r="K36" s="370"/>
      <c r="L36" s="370"/>
      <c r="M36" s="370"/>
      <c r="N36" s="370"/>
      <c r="O36" s="370"/>
      <c r="P36" s="370"/>
      <c r="Q36" s="370"/>
      <c r="R36" s="370"/>
    </row>
    <row r="37" spans="1:18">
      <c r="A37" s="349" t="s">
        <v>1503</v>
      </c>
      <c r="B37" s="350">
        <f>SUM(B33:B36)</f>
        <v>0</v>
      </c>
      <c r="C37" s="350">
        <f>SUM(C33:C36)</f>
        <v>383657</v>
      </c>
      <c r="D37" s="27"/>
      <c r="E37" s="27"/>
      <c r="F37" s="27"/>
      <c r="G37" s="27"/>
      <c r="H37" s="27"/>
      <c r="I37" s="27"/>
      <c r="J37" s="27"/>
      <c r="K37" s="370"/>
      <c r="L37" s="370"/>
      <c r="M37" s="370"/>
      <c r="N37" s="370"/>
      <c r="O37" s="370"/>
      <c r="P37" s="370"/>
      <c r="Q37" s="370"/>
      <c r="R37" s="370"/>
    </row>
    <row r="38" spans="1:18">
      <c r="A38" s="349" t="s">
        <v>47</v>
      </c>
      <c r="B38" s="350">
        <v>0</v>
      </c>
      <c r="C38" s="350">
        <f>+'DOI Prog&amp;SLA Summary'!D22</f>
        <v>20371</v>
      </c>
      <c r="D38" s="350">
        <f>+'DOI Prog&amp;SLA Summary'!E22</f>
        <v>135</v>
      </c>
      <c r="E38" s="350">
        <f>+'DOI Prog&amp;SLA Summary'!F22</f>
        <v>20236</v>
      </c>
      <c r="F38" s="350">
        <f>+'DOI Prog&amp;SLA Summary'!G22</f>
        <v>0</v>
      </c>
      <c r="G38" s="350">
        <f>+'DOI Prog&amp;SLA Summary'!H22</f>
        <v>0</v>
      </c>
      <c r="H38" s="350">
        <f>+'DOI Prog&amp;SLA Summary'!I22</f>
        <v>0</v>
      </c>
      <c r="I38" s="350">
        <f>+'DOI Prog&amp;SLA Summary'!J22</f>
        <v>0</v>
      </c>
      <c r="J38" s="350">
        <f>SUM(D38:I38)</f>
        <v>20371</v>
      </c>
      <c r="K38" s="370"/>
      <c r="L38" s="370"/>
      <c r="M38" s="370"/>
      <c r="N38" s="370"/>
    </row>
    <row r="39" spans="1:18">
      <c r="A39" s="3" t="s">
        <v>48</v>
      </c>
      <c r="B39" s="350">
        <f>B37-B38</f>
        <v>0</v>
      </c>
      <c r="C39" s="350">
        <f>C37-C38</f>
        <v>363286</v>
      </c>
      <c r="D39" s="27"/>
      <c r="E39" s="27"/>
      <c r="F39" s="27"/>
      <c r="G39" s="27"/>
      <c r="H39" s="27"/>
      <c r="I39" s="27"/>
      <c r="J39" s="27"/>
      <c r="K39" s="370"/>
      <c r="L39" s="370"/>
      <c r="M39" s="370"/>
      <c r="N39" s="370"/>
    </row>
    <row r="40" spans="1:18" s="370" customFormat="1">
      <c r="A40" s="349" t="s">
        <v>1545</v>
      </c>
      <c r="B40" s="350">
        <v>0</v>
      </c>
      <c r="C40" s="350">
        <v>22000</v>
      </c>
      <c r="D40" s="350"/>
      <c r="E40" s="350"/>
      <c r="F40" s="350"/>
      <c r="G40" s="350"/>
      <c r="H40" s="350"/>
      <c r="I40" s="350">
        <f>+C40-SUM(D40:H40)</f>
        <v>22000</v>
      </c>
      <c r="J40" s="350">
        <f t="shared" ref="J40" si="6">SUM(D40:I40)</f>
        <v>22000</v>
      </c>
      <c r="K40" s="29"/>
      <c r="L40" s="29"/>
      <c r="M40" s="361"/>
      <c r="N40" s="29"/>
      <c r="O40" s="29"/>
      <c r="P40" s="29"/>
      <c r="Q40" s="29"/>
      <c r="R40" s="29"/>
    </row>
    <row r="41" spans="1:18" s="7" customFormat="1" ht="28.5">
      <c r="A41" s="771" t="s">
        <v>1507</v>
      </c>
      <c r="B41" s="5"/>
      <c r="C41" s="271"/>
      <c r="D41" s="354">
        <v>0.16139999999999999</v>
      </c>
      <c r="E41" s="354">
        <v>0.67200000000000004</v>
      </c>
      <c r="F41" s="354">
        <v>4.1000000000000002E-2</v>
      </c>
      <c r="G41" s="354">
        <v>0.12559999999999999</v>
      </c>
      <c r="H41" s="354">
        <v>0</v>
      </c>
      <c r="I41" s="276"/>
      <c r="J41" s="354">
        <f>SUM(D41:I41)</f>
        <v>1</v>
      </c>
      <c r="K41" s="29" t="s">
        <v>1175</v>
      </c>
      <c r="L41" s="361"/>
      <c r="M41" s="361"/>
      <c r="N41" s="361"/>
    </row>
    <row r="42" spans="1:18">
      <c r="A42" s="349" t="s">
        <v>67</v>
      </c>
      <c r="B42" s="350">
        <f>B39</f>
        <v>0</v>
      </c>
      <c r="C42" s="350">
        <f>+C37-C38-C40</f>
        <v>341286</v>
      </c>
      <c r="D42" s="350">
        <f>(($C$37)*D41)*0.4</f>
        <v>24768.895919999999</v>
      </c>
      <c r="E42" s="350">
        <f>((($C$37)*E41)*0.4)</f>
        <v>103127.00160000002</v>
      </c>
      <c r="F42" s="350">
        <f>(($C$37)*F41)*0.4</f>
        <v>6291.9748</v>
      </c>
      <c r="G42" s="350">
        <f>(($C$37)*G41)*0.4</f>
        <v>19274.927680000001</v>
      </c>
      <c r="H42" s="350">
        <v>0</v>
      </c>
      <c r="I42" s="350">
        <f>C37-D42-E42-F42-G42-H42-C38-I40</f>
        <v>187823.2</v>
      </c>
      <c r="J42" s="350">
        <f>SUM(D42:I42)</f>
        <v>341286</v>
      </c>
      <c r="K42" s="370" t="s">
        <v>68</v>
      </c>
      <c r="L42" s="370"/>
      <c r="M42" s="370"/>
      <c r="N42" s="370"/>
    </row>
    <row r="43" spans="1:18" s="347" customFormat="1">
      <c r="A43" s="270" t="s">
        <v>56</v>
      </c>
      <c r="B43" s="350">
        <v>0</v>
      </c>
      <c r="C43" s="350"/>
      <c r="D43" s="350">
        <v>0</v>
      </c>
      <c r="E43" s="350"/>
      <c r="F43" s="350">
        <v>0</v>
      </c>
      <c r="G43" s="350">
        <v>0</v>
      </c>
      <c r="H43" s="350">
        <v>0</v>
      </c>
      <c r="I43" s="350">
        <v>0</v>
      </c>
      <c r="J43" s="350">
        <f>SUM(D43:I43)</f>
        <v>0</v>
      </c>
      <c r="K43" s="281">
        <f>+J42*0.4</f>
        <v>136514.4</v>
      </c>
      <c r="L43" s="370"/>
      <c r="M43" s="370"/>
      <c r="N43" s="370"/>
    </row>
    <row r="44" spans="1:18">
      <c r="A44" s="349" t="s">
        <v>57</v>
      </c>
      <c r="B44" s="350"/>
      <c r="C44" s="350"/>
      <c r="D44" s="156">
        <f t="shared" ref="D44:I44" si="7">D42+D38+D43+D40</f>
        <v>24903.895919999999</v>
      </c>
      <c r="E44" s="156">
        <f t="shared" si="7"/>
        <v>123363.00160000002</v>
      </c>
      <c r="F44" s="156">
        <f t="shared" si="7"/>
        <v>6291.9748</v>
      </c>
      <c r="G44" s="156">
        <f t="shared" si="7"/>
        <v>19274.927680000001</v>
      </c>
      <c r="H44" s="156">
        <f t="shared" si="7"/>
        <v>0</v>
      </c>
      <c r="I44" s="156">
        <f t="shared" si="7"/>
        <v>209823.2</v>
      </c>
      <c r="J44" s="350">
        <f>SUM(D44:I44)</f>
        <v>383657</v>
      </c>
      <c r="K44" s="370"/>
      <c r="L44" s="370"/>
      <c r="M44" s="370"/>
      <c r="N44" s="370"/>
    </row>
    <row r="45" spans="1:18">
      <c r="A45" s="142" t="s">
        <v>58</v>
      </c>
      <c r="B45" s="141"/>
      <c r="C45" s="141"/>
      <c r="D45" s="344">
        <v>6.5520000000000009E-2</v>
      </c>
      <c r="E45" s="344">
        <v>0.26456000000000002</v>
      </c>
      <c r="F45" s="344">
        <v>1.8880000000000001E-2</v>
      </c>
      <c r="G45" s="344">
        <v>5.1039999999999995E-2</v>
      </c>
      <c r="H45" s="344">
        <v>0</v>
      </c>
      <c r="I45" s="344">
        <v>0.6</v>
      </c>
      <c r="J45" s="344">
        <f t="shared" ref="J45:J59" si="8">SUM(D45:I45)</f>
        <v>1</v>
      </c>
      <c r="K45" s="370"/>
      <c r="L45" s="370"/>
      <c r="M45" s="370"/>
      <c r="N45" s="370"/>
    </row>
    <row r="46" spans="1:18" s="370" customFormat="1">
      <c r="A46" s="142" t="s">
        <v>69</v>
      </c>
      <c r="B46" s="141"/>
      <c r="C46" s="342">
        <f>SUM(D46:I46)</f>
        <v>0</v>
      </c>
      <c r="D46" s="353">
        <v>0</v>
      </c>
      <c r="E46" s="353">
        <v>0</v>
      </c>
      <c r="F46" s="353">
        <v>0</v>
      </c>
      <c r="G46" s="353">
        <f>5000</f>
        <v>5000</v>
      </c>
      <c r="H46" s="353">
        <v>0</v>
      </c>
      <c r="I46" s="353">
        <f>-5000</f>
        <v>-5000</v>
      </c>
      <c r="J46" s="353">
        <f t="shared" si="8"/>
        <v>0</v>
      </c>
    </row>
    <row r="47" spans="1:18" s="370" customFormat="1">
      <c r="A47" s="142" t="s">
        <v>1492</v>
      </c>
      <c r="B47" s="141"/>
      <c r="C47" s="342">
        <v>74000</v>
      </c>
      <c r="D47" s="353">
        <v>16000</v>
      </c>
      <c r="E47" s="353">
        <v>40000</v>
      </c>
      <c r="F47" s="353">
        <v>0</v>
      </c>
      <c r="G47" s="353">
        <f>16000</f>
        <v>16000</v>
      </c>
      <c r="H47" s="353">
        <v>2000</v>
      </c>
      <c r="I47" s="353">
        <v>0</v>
      </c>
      <c r="J47" s="353">
        <f t="shared" si="8"/>
        <v>74000</v>
      </c>
    </row>
    <row r="48" spans="1:18" s="29" customFormat="1">
      <c r="A48" s="142" t="s">
        <v>725</v>
      </c>
      <c r="B48" s="152"/>
      <c r="C48" s="234">
        <v>32015</v>
      </c>
      <c r="D48" s="353">
        <v>4500</v>
      </c>
      <c r="E48" s="353">
        <v>25000</v>
      </c>
      <c r="F48" s="353">
        <v>1000</v>
      </c>
      <c r="G48" s="353">
        <v>1000</v>
      </c>
      <c r="H48" s="353">
        <v>515</v>
      </c>
      <c r="I48" s="353">
        <f>+C48-SUM(D48:H48)</f>
        <v>0</v>
      </c>
      <c r="J48" s="353">
        <f t="shared" si="8"/>
        <v>32015</v>
      </c>
      <c r="L48" s="222"/>
    </row>
    <row r="49" spans="1:13" s="29" customFormat="1" hidden="1">
      <c r="A49" s="142" t="s">
        <v>721</v>
      </c>
      <c r="B49" s="152"/>
      <c r="C49" s="342">
        <v>0</v>
      </c>
      <c r="D49" s="353"/>
      <c r="E49" s="353"/>
      <c r="F49" s="353"/>
      <c r="G49" s="353"/>
      <c r="H49" s="353"/>
      <c r="I49" s="353"/>
      <c r="J49" s="353">
        <f t="shared" si="8"/>
        <v>0</v>
      </c>
      <c r="L49" s="222"/>
    </row>
    <row r="50" spans="1:13" s="29" customFormat="1" hidden="1">
      <c r="A50" s="142" t="s">
        <v>59</v>
      </c>
      <c r="B50" s="152"/>
      <c r="C50" s="342">
        <v>0</v>
      </c>
      <c r="D50" s="353"/>
      <c r="E50" s="353"/>
      <c r="F50" s="353"/>
      <c r="G50" s="353"/>
      <c r="H50" s="353"/>
      <c r="I50" s="353"/>
      <c r="J50" s="353">
        <f t="shared" si="8"/>
        <v>0</v>
      </c>
      <c r="L50" s="222"/>
    </row>
    <row r="51" spans="1:13" s="29" customFormat="1" hidden="1">
      <c r="A51" s="142" t="s">
        <v>974</v>
      </c>
      <c r="B51" s="152"/>
      <c r="C51" s="342"/>
      <c r="D51" s="353"/>
      <c r="E51" s="353"/>
      <c r="F51" s="353"/>
      <c r="G51" s="353"/>
      <c r="H51" s="353"/>
      <c r="I51" s="353"/>
      <c r="J51" s="353">
        <f t="shared" si="8"/>
        <v>0</v>
      </c>
      <c r="L51" s="222"/>
    </row>
    <row r="52" spans="1:13" s="29" customFormat="1" hidden="1">
      <c r="A52" s="142" t="s">
        <v>972</v>
      </c>
      <c r="B52" s="152"/>
      <c r="C52" s="342"/>
      <c r="D52" s="353"/>
      <c r="E52" s="353"/>
      <c r="F52" s="353"/>
      <c r="G52" s="353"/>
      <c r="H52" s="353"/>
      <c r="I52" s="353"/>
      <c r="J52" s="353">
        <f>SUM(D52:I52)</f>
        <v>0</v>
      </c>
      <c r="L52" s="222"/>
    </row>
    <row r="53" spans="1:13" s="29" customFormat="1" hidden="1">
      <c r="A53" s="142" t="s">
        <v>71</v>
      </c>
      <c r="B53" s="152"/>
      <c r="C53" s="342"/>
      <c r="D53" s="353"/>
      <c r="E53" s="353"/>
      <c r="F53" s="353"/>
      <c r="G53" s="353"/>
      <c r="H53" s="353"/>
      <c r="I53" s="353"/>
      <c r="J53" s="353">
        <f t="shared" si="8"/>
        <v>0</v>
      </c>
      <c r="L53" s="222"/>
    </row>
    <row r="54" spans="1:13" s="29" customFormat="1" hidden="1">
      <c r="A54" s="142" t="s">
        <v>72</v>
      </c>
      <c r="B54" s="152"/>
      <c r="C54" s="234"/>
      <c r="D54" s="353"/>
      <c r="E54" s="353"/>
      <c r="F54" s="353"/>
      <c r="G54" s="353"/>
      <c r="H54" s="353"/>
      <c r="I54" s="353"/>
      <c r="J54" s="353">
        <f t="shared" si="8"/>
        <v>0</v>
      </c>
      <c r="L54" s="222"/>
    </row>
    <row r="55" spans="1:13" s="29" customFormat="1" hidden="1">
      <c r="A55" s="142" t="s">
        <v>73</v>
      </c>
      <c r="B55" s="152"/>
      <c r="C55" s="342"/>
      <c r="D55" s="355"/>
      <c r="E55" s="355"/>
      <c r="F55" s="355"/>
      <c r="G55" s="355"/>
      <c r="H55" s="355"/>
      <c r="I55" s="355"/>
      <c r="J55" s="357">
        <f t="shared" si="8"/>
        <v>0</v>
      </c>
    </row>
    <row r="56" spans="1:13" s="29" customFormat="1" hidden="1">
      <c r="A56" s="142" t="s">
        <v>74</v>
      </c>
      <c r="B56" s="152"/>
      <c r="C56" s="342"/>
      <c r="D56" s="356"/>
      <c r="E56" s="356"/>
      <c r="F56" s="356"/>
      <c r="G56" s="356"/>
      <c r="H56" s="356"/>
      <c r="I56" s="356"/>
      <c r="J56" s="355">
        <f t="shared" si="8"/>
        <v>0</v>
      </c>
      <c r="K56" s="29" t="s">
        <v>70</v>
      </c>
    </row>
    <row r="57" spans="1:13" s="29" customFormat="1" hidden="1">
      <c r="A57" s="142" t="s">
        <v>1492</v>
      </c>
      <c r="B57" s="152"/>
      <c r="C57" s="342">
        <v>0</v>
      </c>
      <c r="D57" s="356">
        <v>0</v>
      </c>
      <c r="E57" s="356">
        <v>0</v>
      </c>
      <c r="F57" s="356">
        <v>0</v>
      </c>
      <c r="G57" s="356">
        <v>0</v>
      </c>
      <c r="H57" s="356">
        <v>0</v>
      </c>
      <c r="I57" s="356">
        <f>-SUM(D57:H57)</f>
        <v>0</v>
      </c>
      <c r="J57" s="356">
        <f t="shared" si="8"/>
        <v>0</v>
      </c>
    </row>
    <row r="58" spans="1:13" s="149" customFormat="1">
      <c r="A58" s="143" t="s">
        <v>64</v>
      </c>
      <c r="B58" s="144"/>
      <c r="C58" s="145">
        <f>C37-C51-C52-C53-C55-C56-C48-C57+C43-C50-C47-C46</f>
        <v>277642</v>
      </c>
      <c r="D58" s="265">
        <f>(D44-D51-D52-D53-D55-D50-D57-D56-D46-D47-D48-D49)</f>
        <v>4403.895919999999</v>
      </c>
      <c r="E58" s="265">
        <f>(E44-E51-E52-E53-E55-E50-E49-E48-E47-E46-E57-E56)</f>
        <v>58363.001600000018</v>
      </c>
      <c r="F58" s="265">
        <f>(F44-F51-F52-F53-F55-F50-F49-F48-F47-F46-F57-F56)</f>
        <v>5291.9748</v>
      </c>
      <c r="G58" s="265">
        <f>(G44-G51-G52-G53-G55-G50-G49-G57-G56-G46-G47-G48)+5000</f>
        <v>2274.9276800000007</v>
      </c>
      <c r="H58" s="265">
        <f>(H44-H51-H52-H53-H55-H50-H49-H57-H56-H46-H47-H48)+2515</f>
        <v>0</v>
      </c>
      <c r="I58" s="265">
        <f>((I44-I51-I52-I53-I55-I50-I49-I48-I47-I46-I57-I56-I50)-H59)-5000</f>
        <v>207308.2</v>
      </c>
      <c r="J58" s="265">
        <f t="shared" si="8"/>
        <v>277642</v>
      </c>
      <c r="K58" s="257"/>
      <c r="L58" s="257"/>
      <c r="M58" s="370"/>
    </row>
    <row r="59" spans="1:13" s="29" customFormat="1" ht="15" thickBot="1">
      <c r="A59" s="770" t="s">
        <v>65</v>
      </c>
      <c r="B59" s="152"/>
      <c r="C59" s="77">
        <f t="shared" ref="C59:I59" si="9">SUM(C46:C58)</f>
        <v>383657</v>
      </c>
      <c r="D59" s="220">
        <f t="shared" si="9"/>
        <v>24903.895919999999</v>
      </c>
      <c r="E59" s="220">
        <f t="shared" si="9"/>
        <v>123363.00160000002</v>
      </c>
      <c r="F59" s="220">
        <f t="shared" si="9"/>
        <v>6291.9748</v>
      </c>
      <c r="G59" s="220">
        <f t="shared" si="9"/>
        <v>24274.927680000001</v>
      </c>
      <c r="H59" s="220">
        <f t="shared" si="9"/>
        <v>2515</v>
      </c>
      <c r="I59" s="220">
        <f t="shared" si="9"/>
        <v>202308.2</v>
      </c>
      <c r="J59" s="220">
        <f t="shared" si="8"/>
        <v>383657</v>
      </c>
      <c r="K59" s="222">
        <f>+J59-C59</f>
        <v>0</v>
      </c>
    </row>
    <row r="60" spans="1:13" s="370" customFormat="1" ht="16" thickTop="1">
      <c r="A60" s="25" t="s">
        <v>75</v>
      </c>
      <c r="B60" s="26"/>
      <c r="C60" s="26"/>
      <c r="D60" s="221" t="s">
        <v>0</v>
      </c>
      <c r="E60" s="221" t="s">
        <v>1</v>
      </c>
      <c r="F60" s="221" t="s">
        <v>2</v>
      </c>
      <c r="G60" s="221" t="s">
        <v>3</v>
      </c>
      <c r="H60" s="221" t="s">
        <v>4</v>
      </c>
      <c r="I60" s="221" t="s">
        <v>26</v>
      </c>
      <c r="J60" s="221" t="s">
        <v>5</v>
      </c>
      <c r="K60" s="222"/>
      <c r="L60" s="29"/>
      <c r="M60" s="29"/>
    </row>
    <row r="61" spans="1:13" s="370" customFormat="1">
      <c r="A61" s="349" t="s">
        <v>1002</v>
      </c>
      <c r="B61" s="350">
        <v>330000</v>
      </c>
      <c r="C61" s="350">
        <f>+B65</f>
        <v>340000</v>
      </c>
      <c r="D61" s="27"/>
      <c r="E61" s="27"/>
      <c r="F61" s="27"/>
      <c r="G61" s="27"/>
      <c r="H61" s="27"/>
      <c r="I61" s="27"/>
      <c r="J61" s="27"/>
      <c r="K61" s="222"/>
      <c r="L61" s="29"/>
      <c r="M61" s="29"/>
    </row>
    <row r="62" spans="1:13" s="370" customFormat="1">
      <c r="A62" s="28" t="s">
        <v>1500</v>
      </c>
      <c r="B62" s="16">
        <v>0</v>
      </c>
      <c r="C62" s="350">
        <v>0</v>
      </c>
      <c r="D62" s="27"/>
      <c r="E62" s="27"/>
      <c r="F62" s="27"/>
      <c r="G62" s="27"/>
      <c r="H62" s="27"/>
      <c r="I62" s="27"/>
      <c r="J62" s="27"/>
    </row>
    <row r="63" spans="1:13" s="370" customFormat="1">
      <c r="A63" s="28" t="s">
        <v>1505</v>
      </c>
      <c r="B63" s="350">
        <v>10000</v>
      </c>
      <c r="C63" s="350">
        <v>10000</v>
      </c>
      <c r="D63" s="27"/>
      <c r="E63" s="27"/>
      <c r="F63" s="27"/>
      <c r="G63" s="27"/>
      <c r="H63" s="27"/>
      <c r="I63" s="27"/>
      <c r="J63" s="27"/>
    </row>
    <row r="64" spans="1:13" s="370" customFormat="1">
      <c r="A64" s="28" t="s">
        <v>1502</v>
      </c>
      <c r="B64" s="350">
        <v>0</v>
      </c>
      <c r="C64" s="350">
        <v>0</v>
      </c>
      <c r="D64" s="27"/>
      <c r="E64" s="27"/>
      <c r="F64" s="27"/>
      <c r="G64" s="27"/>
      <c r="H64" s="27"/>
      <c r="I64" s="27"/>
      <c r="J64" s="27"/>
    </row>
    <row r="65" spans="1:16" s="370" customFormat="1">
      <c r="A65" s="349" t="s">
        <v>1503</v>
      </c>
      <c r="B65" s="350">
        <f>SUM(B61:B64)</f>
        <v>340000</v>
      </c>
      <c r="C65" s="350">
        <f>SUM(C61:C64)</f>
        <v>350000</v>
      </c>
      <c r="D65" s="27"/>
      <c r="E65" s="27"/>
      <c r="F65" s="27"/>
      <c r="G65" s="27"/>
      <c r="H65" s="27"/>
      <c r="I65" s="27"/>
      <c r="J65" s="27"/>
    </row>
    <row r="66" spans="1:16" s="370" customFormat="1">
      <c r="A66" s="349" t="s">
        <v>47</v>
      </c>
      <c r="B66" s="350">
        <v>0</v>
      </c>
      <c r="C66" s="350">
        <v>0</v>
      </c>
      <c r="D66" s="350">
        <v>0</v>
      </c>
      <c r="E66" s="350">
        <v>0</v>
      </c>
      <c r="F66" s="350">
        <v>0</v>
      </c>
      <c r="G66" s="350">
        <v>0</v>
      </c>
      <c r="H66" s="350">
        <v>0</v>
      </c>
      <c r="I66" s="350">
        <v>0</v>
      </c>
      <c r="J66" s="350">
        <f>SUM(D66:I66)</f>
        <v>0</v>
      </c>
    </row>
    <row r="67" spans="1:16" s="370" customFormat="1">
      <c r="A67" s="3" t="s">
        <v>48</v>
      </c>
      <c r="B67" s="350">
        <f>+B65-B66</f>
        <v>340000</v>
      </c>
      <c r="C67" s="350">
        <f>C65-C66</f>
        <v>350000</v>
      </c>
      <c r="D67" s="27"/>
      <c r="E67" s="27"/>
      <c r="F67" s="27"/>
      <c r="G67" s="27"/>
      <c r="H67" s="27"/>
      <c r="I67" s="27"/>
      <c r="J67" s="27"/>
    </row>
    <row r="68" spans="1:16" s="351" customFormat="1">
      <c r="A68" s="4"/>
      <c r="B68" s="5"/>
      <c r="C68" s="271"/>
      <c r="D68" s="354"/>
      <c r="E68" s="354"/>
      <c r="F68" s="354"/>
      <c r="G68" s="354"/>
      <c r="H68" s="354"/>
      <c r="I68" s="276"/>
      <c r="J68" s="354"/>
      <c r="K68" s="370"/>
    </row>
    <row r="69" spans="1:16" s="370" customFormat="1">
      <c r="A69" s="349" t="s">
        <v>67</v>
      </c>
      <c r="B69" s="350">
        <f>+B67</f>
        <v>340000</v>
      </c>
      <c r="C69" s="350">
        <f>SUM(D69:I69)</f>
        <v>350000</v>
      </c>
      <c r="D69" s="350"/>
      <c r="E69" s="350"/>
      <c r="F69" s="350"/>
      <c r="G69" s="350"/>
      <c r="H69" s="350"/>
      <c r="I69" s="350">
        <f>C67-D69-E69-F69-G69-H69</f>
        <v>350000</v>
      </c>
      <c r="J69" s="350">
        <f t="shared" ref="J69:J76" si="10">SUM(D69:I69)</f>
        <v>350000</v>
      </c>
    </row>
    <row r="70" spans="1:16" s="29" customFormat="1" hidden="1">
      <c r="A70" s="142" t="s">
        <v>725</v>
      </c>
      <c r="B70" s="152"/>
      <c r="C70" s="342">
        <v>0</v>
      </c>
      <c r="D70" s="353">
        <v>0</v>
      </c>
      <c r="E70" s="353">
        <v>0</v>
      </c>
      <c r="F70" s="353">
        <v>0</v>
      </c>
      <c r="G70" s="353">
        <v>0</v>
      </c>
      <c r="H70" s="353">
        <v>0</v>
      </c>
      <c r="I70" s="353"/>
      <c r="J70" s="353">
        <f t="shared" si="10"/>
        <v>0</v>
      </c>
    </row>
    <row r="71" spans="1:16" s="29" customFormat="1">
      <c r="A71" s="142" t="s">
        <v>1496</v>
      </c>
      <c r="B71" s="152"/>
      <c r="C71" s="342">
        <f>13022+28700</f>
        <v>41722</v>
      </c>
      <c r="D71" s="353">
        <v>0</v>
      </c>
      <c r="E71" s="353">
        <v>0</v>
      </c>
      <c r="F71" s="353">
        <v>0</v>
      </c>
      <c r="G71" s="353">
        <v>0</v>
      </c>
      <c r="H71" s="353">
        <v>0</v>
      </c>
      <c r="I71" s="353">
        <f>13022+28700</f>
        <v>41722</v>
      </c>
      <c r="J71" s="353">
        <f t="shared" si="10"/>
        <v>41722</v>
      </c>
    </row>
    <row r="72" spans="1:16" s="29" customFormat="1">
      <c r="A72" s="142" t="s">
        <v>59</v>
      </c>
      <c r="B72" s="152"/>
      <c r="C72" s="342">
        <f>32538-34</f>
        <v>32504</v>
      </c>
      <c r="D72" s="353">
        <v>0</v>
      </c>
      <c r="E72" s="353">
        <v>0</v>
      </c>
      <c r="F72" s="353">
        <v>0</v>
      </c>
      <c r="G72" s="353">
        <v>0</v>
      </c>
      <c r="H72" s="353">
        <v>0</v>
      </c>
      <c r="I72" s="353">
        <f>32538-34</f>
        <v>32504</v>
      </c>
      <c r="J72" s="357">
        <f t="shared" si="10"/>
        <v>32504</v>
      </c>
    </row>
    <row r="73" spans="1:16" s="29" customFormat="1">
      <c r="A73" s="142" t="s">
        <v>71</v>
      </c>
      <c r="B73" s="152"/>
      <c r="C73" s="342">
        <v>71536</v>
      </c>
      <c r="D73" s="355">
        <v>0</v>
      </c>
      <c r="E73" s="355">
        <v>0</v>
      </c>
      <c r="F73" s="355">
        <v>0</v>
      </c>
      <c r="G73" s="355">
        <v>0</v>
      </c>
      <c r="H73" s="355">
        <v>0</v>
      </c>
      <c r="I73" s="355">
        <v>71536</v>
      </c>
      <c r="J73" s="357">
        <f t="shared" si="10"/>
        <v>71536</v>
      </c>
    </row>
    <row r="74" spans="1:16" s="29" customFormat="1">
      <c r="A74" s="142" t="s">
        <v>63</v>
      </c>
      <c r="B74" s="152"/>
      <c r="C74" s="342">
        <v>44574</v>
      </c>
      <c r="D74" s="356">
        <v>0</v>
      </c>
      <c r="E74" s="356">
        <v>0</v>
      </c>
      <c r="F74" s="356">
        <v>0</v>
      </c>
      <c r="G74" s="356">
        <v>0</v>
      </c>
      <c r="H74" s="356">
        <v>0</v>
      </c>
      <c r="I74" s="356">
        <v>44574</v>
      </c>
      <c r="J74" s="357">
        <f t="shared" si="10"/>
        <v>44574</v>
      </c>
    </row>
    <row r="75" spans="1:16" s="370" customFormat="1">
      <c r="A75" s="143" t="s">
        <v>64</v>
      </c>
      <c r="B75" s="144"/>
      <c r="C75" s="145">
        <f>C67-C71-C73-C74-C72-C70</f>
        <v>159664</v>
      </c>
      <c r="D75" s="265">
        <v>0</v>
      </c>
      <c r="E75" s="265">
        <v>0</v>
      </c>
      <c r="F75" s="265">
        <v>0</v>
      </c>
      <c r="G75" s="265">
        <v>0</v>
      </c>
      <c r="H75" s="265">
        <v>0</v>
      </c>
      <c r="I75" s="265">
        <f>+I69-I73-I74-I72-I71-I70</f>
        <v>159664</v>
      </c>
      <c r="J75" s="265">
        <f t="shared" si="10"/>
        <v>159664</v>
      </c>
    </row>
    <row r="76" spans="1:16" s="29" customFormat="1" ht="15" thickBot="1">
      <c r="A76" s="770" t="s">
        <v>65</v>
      </c>
      <c r="B76" s="152"/>
      <c r="C76" s="77">
        <f>SUM(C70:C75)</f>
        <v>350000</v>
      </c>
      <c r="D76" s="220">
        <f>SUM(D70:D75)</f>
        <v>0</v>
      </c>
      <c r="E76" s="220">
        <f t="shared" ref="E76:I76" si="11">SUM(E70:E75)</f>
        <v>0</v>
      </c>
      <c r="F76" s="220">
        <f t="shared" si="11"/>
        <v>0</v>
      </c>
      <c r="G76" s="220">
        <f t="shared" si="11"/>
        <v>0</v>
      </c>
      <c r="H76" s="220">
        <f t="shared" si="11"/>
        <v>0</v>
      </c>
      <c r="I76" s="220">
        <f t="shared" si="11"/>
        <v>350000</v>
      </c>
      <c r="J76" s="220">
        <f t="shared" si="10"/>
        <v>350000</v>
      </c>
      <c r="K76" s="222"/>
    </row>
    <row r="77" spans="1:16" ht="16" thickTop="1">
      <c r="A77" s="25" t="s">
        <v>76</v>
      </c>
      <c r="B77" s="26"/>
      <c r="C77" s="26"/>
      <c r="D77" s="221" t="s">
        <v>0</v>
      </c>
      <c r="E77" s="221" t="s">
        <v>1</v>
      </c>
      <c r="F77" s="221" t="s">
        <v>2</v>
      </c>
      <c r="G77" s="221" t="s">
        <v>3</v>
      </c>
      <c r="H77" s="221" t="s">
        <v>4</v>
      </c>
      <c r="I77" s="221" t="s">
        <v>26</v>
      </c>
      <c r="J77" s="221" t="s">
        <v>5</v>
      </c>
      <c r="K77" s="370"/>
      <c r="L77" s="370"/>
      <c r="M77" s="370"/>
      <c r="N77" s="370"/>
      <c r="O77" s="370"/>
      <c r="P77" s="370"/>
    </row>
    <row r="78" spans="1:16">
      <c r="A78" s="349" t="s">
        <v>1002</v>
      </c>
      <c r="B78" s="350">
        <v>227000</v>
      </c>
      <c r="C78" s="350">
        <f>+B82</f>
        <v>247000</v>
      </c>
      <c r="D78" s="27"/>
      <c r="E78" s="27"/>
      <c r="F78" s="27"/>
      <c r="G78" s="27"/>
      <c r="H78" s="27"/>
      <c r="I78" s="27"/>
      <c r="J78" s="27"/>
      <c r="K78" s="370"/>
      <c r="L78" s="370"/>
      <c r="M78" s="370"/>
      <c r="N78" s="370"/>
      <c r="O78" s="370"/>
      <c r="P78" s="370"/>
    </row>
    <row r="79" spans="1:16">
      <c r="A79" s="28" t="s">
        <v>1500</v>
      </c>
      <c r="B79" s="350">
        <v>6761</v>
      </c>
      <c r="C79" s="350">
        <v>10290</v>
      </c>
      <c r="D79" s="27"/>
      <c r="E79" s="27"/>
      <c r="F79" s="27"/>
      <c r="G79" s="27"/>
      <c r="H79" s="27"/>
      <c r="I79" s="27"/>
      <c r="J79" s="27"/>
      <c r="K79" s="370"/>
      <c r="L79" s="370"/>
      <c r="M79" s="370"/>
      <c r="N79" s="370"/>
      <c r="O79" s="370"/>
      <c r="P79" s="370"/>
    </row>
    <row r="80" spans="1:16">
      <c r="A80" s="28" t="s">
        <v>1501</v>
      </c>
      <c r="B80" s="350">
        <v>13239</v>
      </c>
      <c r="C80" s="350">
        <v>-42840</v>
      </c>
      <c r="D80" s="27"/>
      <c r="E80" s="27"/>
      <c r="F80" s="27"/>
      <c r="G80" s="27"/>
      <c r="H80" s="27"/>
      <c r="I80" s="27"/>
      <c r="J80" s="27"/>
      <c r="K80" s="370"/>
      <c r="L80" s="370"/>
      <c r="M80" s="370"/>
      <c r="N80" s="370"/>
      <c r="O80" s="370"/>
      <c r="P80" s="370"/>
    </row>
    <row r="81" spans="1:20">
      <c r="A81" s="28" t="s">
        <v>1502</v>
      </c>
      <c r="B81" s="350">
        <v>0</v>
      </c>
      <c r="C81" s="350">
        <f>+C78*0</f>
        <v>0</v>
      </c>
      <c r="D81" s="27"/>
      <c r="E81" s="27"/>
      <c r="F81" s="27"/>
      <c r="G81" s="27"/>
      <c r="H81" s="27"/>
      <c r="I81" s="27"/>
      <c r="J81" s="27"/>
      <c r="K81" s="370"/>
      <c r="L81" s="370"/>
      <c r="M81" s="370"/>
      <c r="N81" s="370"/>
      <c r="O81" s="370"/>
      <c r="P81" s="370"/>
    </row>
    <row r="82" spans="1:20">
      <c r="A82" s="349" t="s">
        <v>1503</v>
      </c>
      <c r="B82" s="350">
        <f>SUM(B78:B81)</f>
        <v>247000</v>
      </c>
      <c r="C82" s="350">
        <f>SUM(C78:C81)</f>
        <v>214450</v>
      </c>
      <c r="D82" s="27"/>
      <c r="E82" s="27"/>
      <c r="F82" s="27"/>
      <c r="G82" s="27"/>
      <c r="H82" s="27"/>
      <c r="I82" s="27"/>
      <c r="J82" s="27"/>
      <c r="K82" s="370"/>
      <c r="L82" s="370"/>
      <c r="M82" s="370"/>
      <c r="N82" s="370"/>
      <c r="O82" s="370"/>
      <c r="P82" s="370"/>
    </row>
    <row r="83" spans="1:20">
      <c r="A83" s="349" t="s">
        <v>47</v>
      </c>
      <c r="B83" s="350">
        <v>21868.089799999998</v>
      </c>
      <c r="C83" s="350">
        <f>'DOI Prog&amp;SLA Summary'!L35</f>
        <v>18466.576399999998</v>
      </c>
      <c r="D83" s="353">
        <f>'DOI Prog&amp;SLA Summary'!E36</f>
        <v>9000</v>
      </c>
      <c r="E83" s="353">
        <f>'DOI Prog&amp;SLA Summary'!F36</f>
        <v>1493.4983999999999</v>
      </c>
      <c r="F83" s="353">
        <f>'DOI Prog&amp;SLA Summary'!G36</f>
        <v>-0.1769999999999996</v>
      </c>
      <c r="G83" s="353">
        <f>'DOI Prog&amp;SLA Summary'!H36</f>
        <v>1878.5</v>
      </c>
      <c r="H83" s="353">
        <f>'DOI Prog&amp;SLA Summary'!I36</f>
        <v>3196</v>
      </c>
      <c r="I83" s="353">
        <f>'DOI Prog&amp;SLA Summary'!J36</f>
        <v>2898.7550000000001</v>
      </c>
      <c r="J83" s="353">
        <f>SUM(D83:I83)</f>
        <v>18466.576400000002</v>
      </c>
      <c r="K83" s="370"/>
      <c r="L83" s="370"/>
      <c r="M83" s="370"/>
      <c r="N83" s="370"/>
      <c r="O83" s="370"/>
      <c r="P83" s="370"/>
    </row>
    <row r="84" spans="1:20">
      <c r="A84" s="3" t="s">
        <v>48</v>
      </c>
      <c r="B84" s="350">
        <f>B82-B83</f>
        <v>225131.91020000001</v>
      </c>
      <c r="C84" s="350">
        <f>C82-C83</f>
        <v>195983.42360000001</v>
      </c>
      <c r="D84" s="27"/>
      <c r="E84" s="27"/>
      <c r="F84" s="27"/>
      <c r="G84" s="27"/>
      <c r="H84" s="27"/>
      <c r="I84" s="27"/>
      <c r="J84" s="27"/>
      <c r="K84" s="370"/>
      <c r="L84" s="370"/>
      <c r="M84" s="370"/>
      <c r="N84" s="370"/>
      <c r="O84" s="370"/>
      <c r="P84" s="370"/>
    </row>
    <row r="85" spans="1:20" s="7" customFormat="1">
      <c r="A85" s="4" t="s">
        <v>49</v>
      </c>
      <c r="B85" s="5"/>
      <c r="C85" s="271"/>
      <c r="D85" s="354">
        <f>ROUND(+'Prep%Fuelspercentage.direct'!D54,4)</f>
        <v>0.19650000000000001</v>
      </c>
      <c r="E85" s="354">
        <f>ROUND(+'Prep%Fuelspercentage.direct'!E54,4)</f>
        <v>0.50429999999999997</v>
      </c>
      <c r="F85" s="354">
        <f>ROUND(+'Prep%Fuelspercentage.direct'!F54,4)</f>
        <v>0.15090000000000001</v>
      </c>
      <c r="G85" s="354">
        <f>ROUND(+'Prep%Fuelspercentage.direct'!G54,4)</f>
        <v>0.14829999999999999</v>
      </c>
      <c r="H85" s="354"/>
      <c r="I85" s="276"/>
      <c r="J85" s="354">
        <f>SUM(D85:I85)</f>
        <v>1</v>
      </c>
      <c r="K85" s="29"/>
      <c r="L85" s="361"/>
      <c r="M85" s="361"/>
      <c r="N85" s="361"/>
      <c r="O85" s="361"/>
      <c r="P85" s="361"/>
      <c r="Q85" s="361"/>
      <c r="R85" s="361"/>
      <c r="S85" s="361"/>
      <c r="T85" s="361"/>
    </row>
    <row r="86" spans="1:20" s="341" customFormat="1">
      <c r="A86" s="349" t="s">
        <v>51</v>
      </c>
      <c r="B86" s="350">
        <v>6761</v>
      </c>
      <c r="C86" s="350">
        <f>'Prep%Fuelspercentage.direct'!C12</f>
        <v>10290</v>
      </c>
      <c r="D86" s="350">
        <f>'Prep%Fuelspercentage.direct'!D12</f>
        <v>1033.8461538461538</v>
      </c>
      <c r="E86" s="350">
        <f>'Prep%Fuelspercentage.direct'!E12</f>
        <v>4878.4615384615381</v>
      </c>
      <c r="F86" s="350">
        <f>'Prep%Fuelspercentage.direct'!F12</f>
        <v>1946.5384615384614</v>
      </c>
      <c r="G86" s="350">
        <f>'Prep%Fuelspercentage.direct'!G12</f>
        <v>2382.6923076923076</v>
      </c>
      <c r="H86" s="350">
        <f>'Prep%Fuelspercentage.direct'!H12</f>
        <v>48.46153846153846</v>
      </c>
      <c r="I86" s="350">
        <v>0</v>
      </c>
      <c r="J86" s="350">
        <f>SUM(D86:I86)</f>
        <v>10290</v>
      </c>
      <c r="K86" s="29"/>
      <c r="L86" s="29"/>
      <c r="M86" s="361"/>
      <c r="N86" s="29"/>
      <c r="O86" s="29"/>
      <c r="P86" s="29"/>
    </row>
    <row r="87" spans="1:20" s="370" customFormat="1" hidden="1">
      <c r="A87" s="349" t="s">
        <v>52</v>
      </c>
      <c r="B87" s="350">
        <v>0</v>
      </c>
      <c r="C87" s="350">
        <v>0</v>
      </c>
      <c r="D87" s="350">
        <v>0</v>
      </c>
      <c r="E87" s="350">
        <v>0</v>
      </c>
      <c r="F87" s="350">
        <v>0</v>
      </c>
      <c r="G87" s="350">
        <v>0</v>
      </c>
      <c r="H87" s="350"/>
      <c r="I87" s="350"/>
      <c r="J87" s="350">
        <f t="shared" ref="J87" si="12">SUM(D87:I87)</f>
        <v>0</v>
      </c>
      <c r="K87" s="29"/>
      <c r="L87" s="29"/>
      <c r="M87" s="361"/>
      <c r="N87" s="29"/>
      <c r="O87" s="29"/>
      <c r="P87" s="29"/>
    </row>
    <row r="88" spans="1:20" s="370" customFormat="1">
      <c r="A88" s="349" t="s">
        <v>988</v>
      </c>
      <c r="B88" s="350">
        <v>10000</v>
      </c>
      <c r="C88" s="350">
        <f>+D88</f>
        <v>6000</v>
      </c>
      <c r="D88" s="350">
        <v>6000</v>
      </c>
      <c r="E88" s="350">
        <v>0</v>
      </c>
      <c r="F88" s="350">
        <v>0</v>
      </c>
      <c r="G88" s="350">
        <v>0</v>
      </c>
      <c r="H88" s="350">
        <v>0</v>
      </c>
      <c r="I88" s="350">
        <v>0</v>
      </c>
      <c r="J88" s="350">
        <f t="shared" ref="J88:J92" si="13">SUM(D88:I88)</f>
        <v>6000</v>
      </c>
      <c r="K88" s="29"/>
      <c r="L88" s="29"/>
      <c r="M88" s="361"/>
      <c r="N88" s="29"/>
      <c r="O88" s="29"/>
      <c r="P88" s="29"/>
    </row>
    <row r="89" spans="1:20">
      <c r="A89" s="349" t="s">
        <v>67</v>
      </c>
      <c r="B89" s="350">
        <v>207370.91020000001</v>
      </c>
      <c r="C89" s="350">
        <f>C84-C86-C87-C88-C90</f>
        <v>179693.42360000001</v>
      </c>
      <c r="D89" s="350">
        <f>($C$89-$H89-$I89)*D85</f>
        <v>35276.942237400006</v>
      </c>
      <c r="E89" s="350">
        <f>($C$89-$H89-$I89)*E85</f>
        <v>90535.175421480002</v>
      </c>
      <c r="F89" s="350">
        <f>($C$89-$H89-$I89)*F85</f>
        <v>27090.537321240001</v>
      </c>
      <c r="G89" s="350">
        <f>($C$89-$H89-$I89)*G85</f>
        <v>26623.76861988</v>
      </c>
      <c r="H89" s="350">
        <f>277-48-62</f>
        <v>167</v>
      </c>
      <c r="I89" s="350"/>
      <c r="J89" s="350">
        <f t="shared" si="13"/>
        <v>179693.42360000001</v>
      </c>
      <c r="K89" s="29"/>
      <c r="L89" s="29"/>
      <c r="M89" s="29"/>
      <c r="N89" s="29"/>
      <c r="O89" s="29"/>
      <c r="P89" s="29"/>
    </row>
    <row r="90" spans="1:20" s="370" customFormat="1" hidden="1">
      <c r="A90" s="349" t="s">
        <v>77</v>
      </c>
      <c r="B90" s="350">
        <v>0</v>
      </c>
      <c r="C90" s="350">
        <v>0</v>
      </c>
      <c r="D90" s="350">
        <v>0</v>
      </c>
      <c r="E90" s="350">
        <v>0</v>
      </c>
      <c r="F90" s="350">
        <v>0</v>
      </c>
      <c r="G90" s="350">
        <v>0</v>
      </c>
      <c r="H90" s="350">
        <v>0</v>
      </c>
      <c r="I90" s="350">
        <v>0</v>
      </c>
      <c r="J90" s="350">
        <f t="shared" si="13"/>
        <v>0</v>
      </c>
      <c r="K90" s="29"/>
      <c r="L90" s="29"/>
      <c r="M90" s="29"/>
      <c r="N90" s="29"/>
      <c r="O90" s="29"/>
      <c r="P90" s="29"/>
    </row>
    <row r="91" spans="1:20" s="370" customFormat="1">
      <c r="A91" s="349" t="s">
        <v>78</v>
      </c>
      <c r="B91" s="350">
        <v>1000</v>
      </c>
      <c r="C91" s="350">
        <v>0</v>
      </c>
      <c r="D91" s="350">
        <v>0</v>
      </c>
      <c r="E91" s="350">
        <v>0</v>
      </c>
      <c r="F91" s="350">
        <v>0</v>
      </c>
      <c r="G91" s="350">
        <v>0</v>
      </c>
      <c r="H91" s="350">
        <v>0</v>
      </c>
      <c r="I91" s="350">
        <v>0</v>
      </c>
      <c r="J91" s="350">
        <f t="shared" si="13"/>
        <v>0</v>
      </c>
      <c r="K91" s="29"/>
      <c r="L91" s="29"/>
      <c r="M91" s="29"/>
      <c r="N91" s="29"/>
      <c r="O91" s="29"/>
      <c r="P91" s="29"/>
    </row>
    <row r="92" spans="1:20">
      <c r="A92" s="349" t="s">
        <v>55</v>
      </c>
      <c r="B92" s="350">
        <v>435.77539999999999</v>
      </c>
      <c r="C92" s="350">
        <f>'DOI Prog&amp;SLA Summary'!D69</f>
        <v>587.60879999999997</v>
      </c>
      <c r="D92" s="350">
        <f>'DOI Prog&amp;SLA Summary'!E69</f>
        <v>-84.985439999999983</v>
      </c>
      <c r="E92" s="350">
        <f>('DOI Prog&amp;SLA Summary'!F69)</f>
        <v>17.995695999999995</v>
      </c>
      <c r="F92" s="350">
        <f>'DOI Prog&amp;SLA Summary'!G69</f>
        <v>-101.46305599999999</v>
      </c>
      <c r="G92" s="350">
        <f>'DOI Prog&amp;SLA Summary'!H69</f>
        <v>-119.55720000000001</v>
      </c>
      <c r="H92" s="350">
        <f>'DOI Prog&amp;SLA Summary'!I69</f>
        <v>0</v>
      </c>
      <c r="I92" s="350">
        <f>'DOI Prog&amp;SLA Summary'!J69</f>
        <v>288</v>
      </c>
      <c r="J92" s="350">
        <f t="shared" si="13"/>
        <v>-9.9999999999909051E-3</v>
      </c>
      <c r="K92" s="29"/>
      <c r="L92" s="29"/>
      <c r="M92" s="29"/>
      <c r="N92" s="29"/>
      <c r="O92" s="29"/>
      <c r="P92" s="29"/>
    </row>
    <row r="93" spans="1:20" s="347" customFormat="1">
      <c r="A93" s="270" t="s">
        <v>56</v>
      </c>
      <c r="B93" s="350">
        <v>0</v>
      </c>
      <c r="C93" s="350">
        <v>0</v>
      </c>
      <c r="D93" s="350">
        <v>0</v>
      </c>
      <c r="E93" s="350">
        <v>0</v>
      </c>
      <c r="F93" s="350">
        <v>0</v>
      </c>
      <c r="G93" s="350">
        <v>0</v>
      </c>
      <c r="H93" s="350">
        <v>0</v>
      </c>
      <c r="I93" s="350">
        <v>0</v>
      </c>
      <c r="J93" s="350">
        <v>0</v>
      </c>
      <c r="K93" s="29"/>
      <c r="L93" s="29"/>
      <c r="M93" s="29"/>
      <c r="N93" s="29"/>
      <c r="O93" s="29"/>
      <c r="P93" s="29"/>
    </row>
    <row r="94" spans="1:20">
      <c r="A94" s="349" t="s">
        <v>57</v>
      </c>
      <c r="B94" s="350"/>
      <c r="C94" s="17"/>
      <c r="D94" s="343">
        <f t="shared" ref="D94:I94" si="14">D83+D86+D87+D88+D89+D90+D92+D93</f>
        <v>51225.802951246165</v>
      </c>
      <c r="E94" s="343">
        <f t="shared" si="14"/>
        <v>96925.131055941543</v>
      </c>
      <c r="F94" s="343">
        <f t="shared" si="14"/>
        <v>28935.435726778462</v>
      </c>
      <c r="G94" s="343">
        <f t="shared" si="14"/>
        <v>30765.403727572309</v>
      </c>
      <c r="H94" s="343">
        <f t="shared" si="14"/>
        <v>3411.4615384615386</v>
      </c>
      <c r="I94" s="343">
        <f t="shared" si="14"/>
        <v>3186.7550000000001</v>
      </c>
      <c r="J94" s="343">
        <f t="shared" ref="J94:J103" si="15">SUM(D94:I94)</f>
        <v>214449.99000000002</v>
      </c>
      <c r="K94" s="29"/>
      <c r="L94" s="29"/>
      <c r="M94" s="29"/>
      <c r="N94" s="29"/>
      <c r="O94" s="29"/>
      <c r="P94" s="29"/>
    </row>
    <row r="95" spans="1:20">
      <c r="A95" s="142" t="s">
        <v>58</v>
      </c>
      <c r="B95" s="141"/>
      <c r="C95" s="141"/>
      <c r="D95" s="274">
        <f t="shared" ref="D95:I95" si="16">D94/$J94</f>
        <v>0.23887062410796178</v>
      </c>
      <c r="E95" s="274">
        <f t="shared" si="16"/>
        <v>0.45197078841524557</v>
      </c>
      <c r="F95" s="274">
        <f t="shared" si="16"/>
        <v>0.13492859443256891</v>
      </c>
      <c r="G95" s="274">
        <f t="shared" si="16"/>
        <v>0.14346190329769801</v>
      </c>
      <c r="H95" s="274">
        <f t="shared" si="16"/>
        <v>1.5907958487018526E-2</v>
      </c>
      <c r="I95" s="274">
        <f t="shared" si="16"/>
        <v>1.486013125950717E-2</v>
      </c>
      <c r="J95" s="274">
        <f t="shared" si="15"/>
        <v>1</v>
      </c>
      <c r="K95" s="29"/>
      <c r="L95" s="29"/>
      <c r="M95" s="29"/>
      <c r="N95" s="29"/>
      <c r="O95" s="29"/>
      <c r="P95" s="29"/>
    </row>
    <row r="96" spans="1:20" s="370" customFormat="1" hidden="1">
      <c r="A96" s="142" t="s">
        <v>725</v>
      </c>
      <c r="B96" s="152"/>
      <c r="C96" s="342">
        <v>0</v>
      </c>
      <c r="D96" s="356"/>
      <c r="E96" s="356"/>
      <c r="F96" s="356"/>
      <c r="G96" s="356"/>
      <c r="H96" s="356"/>
      <c r="I96" s="356"/>
      <c r="J96" s="353">
        <f t="shared" si="15"/>
        <v>0</v>
      </c>
      <c r="K96" s="29"/>
      <c r="L96" s="29"/>
      <c r="M96" s="29"/>
      <c r="N96" s="29"/>
      <c r="O96" s="29"/>
      <c r="P96" s="29"/>
    </row>
    <row r="97" spans="1:16" s="370" customFormat="1">
      <c r="A97" s="142" t="s">
        <v>1496</v>
      </c>
      <c r="B97" s="152"/>
      <c r="C97" s="342">
        <f>9460+17585</f>
        <v>27045</v>
      </c>
      <c r="D97" s="353">
        <v>6000</v>
      </c>
      <c r="E97" s="353">
        <v>12000</v>
      </c>
      <c r="F97" s="353">
        <v>4000</v>
      </c>
      <c r="G97" s="353">
        <v>4000</v>
      </c>
      <c r="H97" s="353">
        <v>500</v>
      </c>
      <c r="I97" s="356">
        <f>+C97-SUM(D97:H97)</f>
        <v>545</v>
      </c>
      <c r="J97" s="353">
        <f t="shared" si="15"/>
        <v>27045</v>
      </c>
      <c r="K97" s="29"/>
      <c r="L97" s="29"/>
      <c r="M97" s="29"/>
      <c r="N97" s="29"/>
      <c r="O97" s="29"/>
      <c r="P97" s="29"/>
    </row>
    <row r="98" spans="1:16" s="370" customFormat="1">
      <c r="A98" s="142" t="s">
        <v>59</v>
      </c>
      <c r="B98" s="152"/>
      <c r="C98" s="342">
        <f>23638-25</f>
        <v>23613</v>
      </c>
      <c r="D98" s="356">
        <v>6000</v>
      </c>
      <c r="E98" s="356">
        <v>15000</v>
      </c>
      <c r="F98" s="356">
        <v>6000</v>
      </c>
      <c r="G98" s="356">
        <v>5000</v>
      </c>
      <c r="H98" s="356">
        <v>150</v>
      </c>
      <c r="I98" s="353">
        <f>+C98-SUM(D98:H98)</f>
        <v>-8537</v>
      </c>
      <c r="J98" s="353">
        <f t="shared" si="15"/>
        <v>23613</v>
      </c>
      <c r="K98" s="29"/>
      <c r="L98" s="29"/>
      <c r="M98" s="29"/>
      <c r="N98" s="29"/>
      <c r="O98" s="29"/>
      <c r="P98" s="29"/>
    </row>
    <row r="99" spans="1:16" s="29" customFormat="1">
      <c r="A99" s="142" t="s">
        <v>71</v>
      </c>
      <c r="B99" s="152"/>
      <c r="C99" s="342">
        <v>51969</v>
      </c>
      <c r="D99" s="353">
        <v>16268</v>
      </c>
      <c r="E99" s="353">
        <v>17000</v>
      </c>
      <c r="F99" s="353">
        <v>4000</v>
      </c>
      <c r="G99" s="353">
        <v>6000</v>
      </c>
      <c r="H99" s="353">
        <v>200</v>
      </c>
      <c r="I99" s="353">
        <f>+C99-SUM(D99:H99)</f>
        <v>8501</v>
      </c>
      <c r="J99" s="353">
        <f t="shared" si="15"/>
        <v>51969</v>
      </c>
    </row>
    <row r="100" spans="1:16" s="29" customFormat="1" hidden="1">
      <c r="A100" s="142" t="s">
        <v>61</v>
      </c>
      <c r="B100" s="152"/>
      <c r="C100" s="342"/>
      <c r="D100" s="353"/>
      <c r="E100" s="353"/>
      <c r="F100" s="353"/>
      <c r="G100" s="353"/>
      <c r="H100" s="353"/>
      <c r="I100" s="353"/>
      <c r="J100" s="357">
        <f t="shared" ref="J100:J101" si="17">SUM(D100:I100)</f>
        <v>0</v>
      </c>
    </row>
    <row r="101" spans="1:16" s="29" customFormat="1" hidden="1">
      <c r="A101" s="142" t="s">
        <v>79</v>
      </c>
      <c r="B101" s="152"/>
      <c r="C101" s="342"/>
      <c r="D101" s="355"/>
      <c r="E101" s="355"/>
      <c r="F101" s="355"/>
      <c r="G101" s="355"/>
      <c r="H101" s="355"/>
      <c r="I101" s="355"/>
      <c r="J101" s="357">
        <f t="shared" si="17"/>
        <v>0</v>
      </c>
    </row>
    <row r="102" spans="1:16" s="29" customFormat="1">
      <c r="A102" s="142" t="s">
        <v>63</v>
      </c>
      <c r="B102" s="152"/>
      <c r="C102" s="342">
        <v>32382</v>
      </c>
      <c r="D102" s="353">
        <f>3000+3000</f>
        <v>6000</v>
      </c>
      <c r="E102" s="353">
        <f>10000+5000</f>
        <v>15000</v>
      </c>
      <c r="F102" s="353">
        <f>4000+2000</f>
        <v>6000</v>
      </c>
      <c r="G102" s="353">
        <f>3000+2000</f>
        <v>5000</v>
      </c>
      <c r="H102" s="353">
        <v>150</v>
      </c>
      <c r="I102" s="353">
        <f>12232-12000</f>
        <v>232</v>
      </c>
      <c r="J102" s="353">
        <f t="shared" si="15"/>
        <v>32382</v>
      </c>
    </row>
    <row r="103" spans="1:16" s="149" customFormat="1">
      <c r="A103" s="143" t="s">
        <v>64</v>
      </c>
      <c r="B103" s="144"/>
      <c r="C103" s="145">
        <f>C82-C102+C93-C99-C98-C97-C96</f>
        <v>79441</v>
      </c>
      <c r="D103" s="145">
        <f t="shared" ref="D103:I103" si="18">+D93+D94-D96-D97-D98-D99-D100-D101-D102</f>
        <v>16957.802951246165</v>
      </c>
      <c r="E103" s="145">
        <f t="shared" si="18"/>
        <v>37925.131055941543</v>
      </c>
      <c r="F103" s="145">
        <f t="shared" si="18"/>
        <v>8935.4357267784617</v>
      </c>
      <c r="G103" s="145">
        <f t="shared" si="18"/>
        <v>10765.403727572309</v>
      </c>
      <c r="H103" s="145">
        <f t="shared" si="18"/>
        <v>2411.4615384615386</v>
      </c>
      <c r="I103" s="145">
        <f t="shared" si="18"/>
        <v>2445.755000000001</v>
      </c>
      <c r="J103" s="145">
        <f t="shared" si="15"/>
        <v>79440.99000000002</v>
      </c>
      <c r="K103" s="370"/>
      <c r="L103" s="370"/>
      <c r="M103" s="370"/>
      <c r="N103" s="370"/>
      <c r="O103" s="370"/>
      <c r="P103" s="370"/>
    </row>
    <row r="104" spans="1:16" s="29" customFormat="1" ht="15" thickBot="1">
      <c r="A104" s="770" t="s">
        <v>65</v>
      </c>
      <c r="B104" s="152"/>
      <c r="C104" s="77">
        <f t="shared" ref="C104:I104" si="19">SUM(C96:C103)</f>
        <v>214450</v>
      </c>
      <c r="D104" s="153">
        <f t="shared" si="19"/>
        <v>51225.802951246165</v>
      </c>
      <c r="E104" s="153">
        <f t="shared" si="19"/>
        <v>96925.131055941543</v>
      </c>
      <c r="F104" s="153">
        <f t="shared" si="19"/>
        <v>28935.435726778462</v>
      </c>
      <c r="G104" s="153">
        <f t="shared" si="19"/>
        <v>30765.403727572309</v>
      </c>
      <c r="H104" s="153">
        <f t="shared" si="19"/>
        <v>3411.4615384615386</v>
      </c>
      <c r="I104" s="153">
        <f t="shared" si="19"/>
        <v>3186.755000000001</v>
      </c>
      <c r="J104" s="153">
        <f>SUM(D104:I104)</f>
        <v>214449.99000000002</v>
      </c>
    </row>
    <row r="105" spans="1:16" s="149" customFormat="1" ht="16" thickTop="1">
      <c r="A105" s="25" t="s">
        <v>80</v>
      </c>
      <c r="B105" s="26"/>
      <c r="C105" s="26"/>
      <c r="D105" s="221" t="s">
        <v>0</v>
      </c>
      <c r="E105" s="221" t="s">
        <v>1</v>
      </c>
      <c r="F105" s="221" t="s">
        <v>2</v>
      </c>
      <c r="G105" s="221" t="s">
        <v>3</v>
      </c>
      <c r="H105" s="221" t="s">
        <v>4</v>
      </c>
      <c r="I105" s="221" t="s">
        <v>26</v>
      </c>
      <c r="J105" s="221" t="s">
        <v>5</v>
      </c>
      <c r="K105" s="370"/>
      <c r="L105" s="257"/>
      <c r="M105" s="370"/>
      <c r="N105" s="370"/>
      <c r="O105" s="370"/>
      <c r="P105" s="370"/>
    </row>
    <row r="106" spans="1:16" s="149" customFormat="1">
      <c r="A106" s="349" t="s">
        <v>1002</v>
      </c>
      <c r="B106" s="16">
        <v>0</v>
      </c>
      <c r="C106" s="350">
        <f>+B110</f>
        <v>504000</v>
      </c>
      <c r="D106" s="27"/>
      <c r="E106" s="27"/>
      <c r="F106" s="27"/>
      <c r="G106" s="27"/>
      <c r="H106" s="27"/>
      <c r="I106" s="27"/>
      <c r="J106" s="27"/>
      <c r="K106" s="370"/>
      <c r="L106" s="370"/>
      <c r="M106" s="370"/>
      <c r="N106" s="370"/>
      <c r="O106" s="370"/>
      <c r="P106" s="370"/>
    </row>
    <row r="107" spans="1:16" s="149" customFormat="1">
      <c r="A107" s="28" t="s">
        <v>1500</v>
      </c>
      <c r="B107" s="16">
        <v>0</v>
      </c>
      <c r="C107" s="350">
        <v>0</v>
      </c>
      <c r="D107" s="27"/>
      <c r="E107" s="27"/>
      <c r="F107" s="27"/>
      <c r="G107" s="27"/>
      <c r="H107" s="27"/>
      <c r="I107" s="27"/>
      <c r="J107" s="27"/>
      <c r="K107" s="370"/>
      <c r="L107" s="370"/>
      <c r="M107" s="370"/>
      <c r="N107" s="370"/>
      <c r="O107" s="370"/>
      <c r="P107" s="370"/>
    </row>
    <row r="108" spans="1:16" s="149" customFormat="1">
      <c r="A108" s="28" t="s">
        <v>1501</v>
      </c>
      <c r="B108" s="16">
        <v>504000</v>
      </c>
      <c r="C108" s="350">
        <v>-504000</v>
      </c>
      <c r="D108" s="27"/>
      <c r="E108" s="27"/>
      <c r="F108" s="27"/>
      <c r="G108" s="27"/>
      <c r="H108" s="27"/>
      <c r="I108" s="27"/>
      <c r="J108" s="27"/>
      <c r="K108" s="370"/>
      <c r="L108" s="370"/>
      <c r="M108" s="370"/>
      <c r="N108" s="370"/>
      <c r="O108" s="370"/>
      <c r="P108" s="370"/>
    </row>
    <row r="109" spans="1:16" s="149" customFormat="1">
      <c r="A109" s="28" t="s">
        <v>1502</v>
      </c>
      <c r="B109" s="16"/>
      <c r="C109" s="350"/>
      <c r="D109" s="27"/>
      <c r="E109" s="27"/>
      <c r="F109" s="27"/>
      <c r="G109" s="27"/>
      <c r="H109" s="27"/>
      <c r="I109" s="27"/>
      <c r="J109" s="27"/>
      <c r="K109" s="370"/>
    </row>
    <row r="110" spans="1:16" s="149" customFormat="1">
      <c r="A110" s="349" t="s">
        <v>1503</v>
      </c>
      <c r="B110" s="350">
        <v>504000</v>
      </c>
      <c r="C110" s="350">
        <f>SUM(C106:C109)</f>
        <v>0</v>
      </c>
      <c r="D110" s="27"/>
      <c r="E110" s="27"/>
      <c r="F110" s="27"/>
      <c r="G110" s="27"/>
      <c r="H110" s="27"/>
      <c r="I110" s="27"/>
      <c r="J110" s="27"/>
      <c r="K110" s="370"/>
    </row>
    <row r="111" spans="1:16" s="149" customFormat="1">
      <c r="A111" s="349" t="s">
        <v>47</v>
      </c>
      <c r="B111" s="350"/>
      <c r="C111" s="350"/>
      <c r="D111" s="350"/>
      <c r="E111" s="350"/>
      <c r="F111" s="350"/>
      <c r="G111" s="350"/>
      <c r="H111" s="350"/>
      <c r="I111" s="350"/>
      <c r="J111" s="350"/>
      <c r="K111" s="370"/>
    </row>
    <row r="112" spans="1:16" s="149" customFormat="1">
      <c r="A112" s="269" t="s">
        <v>81</v>
      </c>
      <c r="B112" s="350"/>
      <c r="C112" s="350">
        <v>0</v>
      </c>
      <c r="D112" s="350"/>
      <c r="E112" s="350"/>
      <c r="F112" s="350"/>
      <c r="G112" s="350"/>
      <c r="H112" s="350"/>
      <c r="I112" s="350">
        <v>0</v>
      </c>
      <c r="J112" s="350">
        <f>SUM(D112:I112)</f>
        <v>0</v>
      </c>
      <c r="K112" s="370"/>
    </row>
    <row r="113" spans="1:11" s="149" customFormat="1">
      <c r="A113" s="3" t="s">
        <v>48</v>
      </c>
      <c r="B113" s="350">
        <f>B110-B111</f>
        <v>504000</v>
      </c>
      <c r="C113" s="350">
        <f>C110-C111-C112</f>
        <v>0</v>
      </c>
      <c r="D113" s="27"/>
      <c r="E113" s="27"/>
      <c r="F113" s="27"/>
      <c r="G113" s="27"/>
      <c r="H113" s="27"/>
      <c r="I113" s="27"/>
      <c r="J113" s="27"/>
      <c r="K113" s="370"/>
    </row>
    <row r="114" spans="1:11" s="7" customFormat="1">
      <c r="A114" s="4" t="s">
        <v>49</v>
      </c>
      <c r="B114" s="5"/>
      <c r="C114" s="5"/>
      <c r="D114" s="181"/>
      <c r="E114" s="181"/>
      <c r="F114" s="181"/>
      <c r="G114" s="181"/>
      <c r="H114" s="181"/>
      <c r="I114" s="6"/>
      <c r="J114" s="15">
        <f>SUM(D114:I114)</f>
        <v>0</v>
      </c>
      <c r="K114" s="370"/>
    </row>
    <row r="115" spans="1:11" s="149" customFormat="1">
      <c r="A115" s="349" t="s">
        <v>67</v>
      </c>
      <c r="B115" s="350"/>
      <c r="C115" s="350"/>
      <c r="D115" s="350"/>
      <c r="E115" s="350"/>
      <c r="F115" s="350"/>
      <c r="G115" s="350"/>
      <c r="H115" s="350"/>
      <c r="I115" s="350"/>
      <c r="J115" s="350">
        <f>SUM(D115:I115)</f>
        <v>0</v>
      </c>
      <c r="K115" s="370"/>
    </row>
    <row r="116" spans="1:11" s="149" customFormat="1">
      <c r="A116" s="349" t="s">
        <v>82</v>
      </c>
      <c r="B116" s="350">
        <v>0</v>
      </c>
      <c r="C116" s="350">
        <v>0</v>
      </c>
      <c r="D116" s="350"/>
      <c r="E116" s="350"/>
      <c r="F116" s="350"/>
      <c r="G116" s="350"/>
      <c r="H116" s="350"/>
      <c r="I116" s="350"/>
      <c r="J116" s="350">
        <f t="shared" ref="J116:J126" si="20">SUM(D116:I116)</f>
        <v>0</v>
      </c>
      <c r="K116" s="370"/>
    </row>
    <row r="117" spans="1:11" s="370" customFormat="1">
      <c r="A117" s="349" t="s">
        <v>83</v>
      </c>
      <c r="B117" s="350">
        <v>0</v>
      </c>
      <c r="C117" s="350">
        <v>0</v>
      </c>
      <c r="D117" s="350"/>
      <c r="E117" s="350"/>
      <c r="F117" s="350"/>
      <c r="G117" s="350"/>
      <c r="H117" s="350"/>
      <c r="I117" s="350"/>
      <c r="J117" s="350">
        <f t="shared" si="20"/>
        <v>0</v>
      </c>
    </row>
    <row r="118" spans="1:11" s="370" customFormat="1">
      <c r="A118" s="349" t="s">
        <v>976</v>
      </c>
      <c r="B118" s="350"/>
      <c r="C118" s="350"/>
      <c r="D118" s="350"/>
      <c r="E118" s="350"/>
      <c r="F118" s="350"/>
      <c r="G118" s="350"/>
      <c r="H118" s="350"/>
      <c r="I118" s="350"/>
      <c r="J118" s="350"/>
    </row>
    <row r="119" spans="1:11" s="370" customFormat="1">
      <c r="A119" s="3" t="s">
        <v>730</v>
      </c>
      <c r="B119" s="350">
        <v>21000</v>
      </c>
      <c r="C119" s="350">
        <v>0</v>
      </c>
      <c r="D119" s="350"/>
      <c r="E119" s="350"/>
      <c r="F119" s="350"/>
      <c r="G119" s="350"/>
      <c r="H119" s="350"/>
      <c r="I119" s="350"/>
      <c r="J119" s="350">
        <f>SUM(D119:I119)</f>
        <v>0</v>
      </c>
    </row>
    <row r="120" spans="1:11" s="370" customFormat="1">
      <c r="A120" s="3" t="s">
        <v>53</v>
      </c>
      <c r="B120" s="350">
        <v>24343</v>
      </c>
      <c r="C120" s="350">
        <f>5944+9540+4340-5+1737</f>
        <v>21556</v>
      </c>
      <c r="D120" s="350">
        <v>0</v>
      </c>
      <c r="E120" s="350">
        <v>0</v>
      </c>
      <c r="F120" s="350">
        <v>0</v>
      </c>
      <c r="G120" s="350">
        <v>0</v>
      </c>
      <c r="H120" s="350">
        <v>0</v>
      </c>
      <c r="I120" s="350">
        <f>+C120</f>
        <v>21556</v>
      </c>
      <c r="J120" s="350">
        <f>SUM(D120:I120)</f>
        <v>21556</v>
      </c>
    </row>
    <row r="121" spans="1:11" s="370" customFormat="1">
      <c r="A121" s="3" t="s">
        <v>1531</v>
      </c>
      <c r="B121" s="350"/>
      <c r="C121" s="350">
        <v>-21556</v>
      </c>
      <c r="D121" s="350"/>
      <c r="E121" s="350"/>
      <c r="F121" s="350"/>
      <c r="G121" s="350"/>
      <c r="H121" s="350"/>
      <c r="I121" s="350">
        <v>-21556</v>
      </c>
      <c r="J121" s="350">
        <f>SUM(D121:I121)</f>
        <v>-21556</v>
      </c>
    </row>
    <row r="122" spans="1:11" s="370" customFormat="1">
      <c r="A122" s="349" t="s">
        <v>978</v>
      </c>
      <c r="B122" s="350"/>
      <c r="C122" s="350"/>
      <c r="D122" s="350"/>
      <c r="E122" s="350"/>
      <c r="F122" s="350"/>
      <c r="G122" s="350"/>
      <c r="H122" s="350"/>
      <c r="I122" s="350">
        <f>+C122</f>
        <v>0</v>
      </c>
      <c r="J122" s="350">
        <f t="shared" si="20"/>
        <v>0</v>
      </c>
    </row>
    <row r="123" spans="1:11" s="370" customFormat="1">
      <c r="A123" s="3" t="s">
        <v>989</v>
      </c>
      <c r="B123" s="350">
        <v>383657</v>
      </c>
      <c r="C123" s="350">
        <f>50298+80721+36716-38+14694</f>
        <v>182391</v>
      </c>
      <c r="D123" s="350">
        <v>16000</v>
      </c>
      <c r="E123" s="350">
        <v>40000</v>
      </c>
      <c r="F123" s="350">
        <v>0</v>
      </c>
      <c r="G123" s="350">
        <v>16000</v>
      </c>
      <c r="H123" s="350">
        <v>2000</v>
      </c>
      <c r="I123" s="350">
        <f>+C123-SUM(D123:H123)</f>
        <v>108391</v>
      </c>
      <c r="J123" s="350">
        <f t="shared" si="20"/>
        <v>182391</v>
      </c>
    </row>
    <row r="124" spans="1:11" s="370" customFormat="1">
      <c r="A124" s="3" t="s">
        <v>1530</v>
      </c>
      <c r="B124" s="350"/>
      <c r="C124" s="350">
        <v>-182391</v>
      </c>
      <c r="D124" s="350">
        <v>-16000</v>
      </c>
      <c r="E124" s="350">
        <v>-40000</v>
      </c>
      <c r="F124" s="350"/>
      <c r="G124" s="350">
        <v>-16000</v>
      </c>
      <c r="H124" s="350">
        <v>-2000</v>
      </c>
      <c r="I124" s="350">
        <v>-108391</v>
      </c>
      <c r="J124" s="350">
        <f t="shared" si="20"/>
        <v>-182391</v>
      </c>
    </row>
    <row r="125" spans="1:11" s="370" customFormat="1">
      <c r="A125" s="349" t="s">
        <v>977</v>
      </c>
      <c r="B125" s="350"/>
      <c r="C125" s="350"/>
      <c r="D125" s="350"/>
      <c r="E125" s="350"/>
      <c r="F125" s="350"/>
      <c r="G125" s="350"/>
      <c r="H125" s="350"/>
      <c r="I125" s="350"/>
      <c r="J125" s="350"/>
    </row>
    <row r="126" spans="1:11" s="370" customFormat="1">
      <c r="A126" s="3" t="s">
        <v>990</v>
      </c>
      <c r="B126" s="350">
        <v>75000</v>
      </c>
      <c r="C126" s="350">
        <v>0</v>
      </c>
      <c r="D126" s="350">
        <v>0</v>
      </c>
      <c r="E126" s="350">
        <v>0</v>
      </c>
      <c r="F126" s="350">
        <v>0</v>
      </c>
      <c r="G126" s="350">
        <v>0</v>
      </c>
      <c r="H126" s="350">
        <v>0</v>
      </c>
      <c r="I126" s="350">
        <f>+C126-SUM(D126:H126)</f>
        <v>0</v>
      </c>
      <c r="J126" s="350">
        <f t="shared" si="20"/>
        <v>0</v>
      </c>
    </row>
    <row r="127" spans="1:11" s="149" customFormat="1">
      <c r="A127" s="349" t="s">
        <v>65</v>
      </c>
      <c r="B127" s="350"/>
      <c r="C127" s="17"/>
      <c r="D127" s="343">
        <f>+D126+D123+D124+D121+D120+D119</f>
        <v>0</v>
      </c>
      <c r="E127" s="343">
        <f t="shared" ref="E127:I127" si="21">+E126+E123+E124+E121+E120+E119</f>
        <v>0</v>
      </c>
      <c r="F127" s="343">
        <f t="shared" si="21"/>
        <v>0</v>
      </c>
      <c r="G127" s="343">
        <f t="shared" si="21"/>
        <v>0</v>
      </c>
      <c r="H127" s="343">
        <f t="shared" si="21"/>
        <v>0</v>
      </c>
      <c r="I127" s="343">
        <f t="shared" si="21"/>
        <v>0</v>
      </c>
      <c r="J127" s="343">
        <f>J111+J112+J115+J116+J117+J119+J120+J121+J123+J124+J126</f>
        <v>0</v>
      </c>
      <c r="K127" s="370"/>
    </row>
    <row r="128" spans="1:11" s="149" customFormat="1">
      <c r="A128" s="270" t="s">
        <v>56</v>
      </c>
      <c r="B128" s="350"/>
      <c r="C128" s="350">
        <v>0</v>
      </c>
      <c r="D128" s="350">
        <v>0</v>
      </c>
      <c r="E128" s="350">
        <v>0</v>
      </c>
      <c r="F128" s="350">
        <v>0</v>
      </c>
      <c r="G128" s="350">
        <v>0</v>
      </c>
      <c r="H128" s="350">
        <v>0</v>
      </c>
      <c r="I128" s="350">
        <v>0</v>
      </c>
      <c r="J128" s="350">
        <v>0</v>
      </c>
      <c r="K128" s="370"/>
    </row>
    <row r="129" spans="1:12" s="149" customFormat="1">
      <c r="A129" s="349" t="s">
        <v>57</v>
      </c>
      <c r="B129" s="350"/>
      <c r="C129" s="17">
        <f>C112</f>
        <v>0</v>
      </c>
      <c r="D129" s="218">
        <f>D127+D128</f>
        <v>0</v>
      </c>
      <c r="E129" s="218">
        <f t="shared" ref="E129:J129" si="22">E127+E128</f>
        <v>0</v>
      </c>
      <c r="F129" s="218">
        <f t="shared" si="22"/>
        <v>0</v>
      </c>
      <c r="G129" s="218">
        <f t="shared" si="22"/>
        <v>0</v>
      </c>
      <c r="H129" s="218">
        <f t="shared" si="22"/>
        <v>0</v>
      </c>
      <c r="I129" s="218">
        <f t="shared" si="22"/>
        <v>0</v>
      </c>
      <c r="J129" s="218">
        <f t="shared" si="22"/>
        <v>0</v>
      </c>
      <c r="K129" s="370"/>
    </row>
    <row r="130" spans="1:12" s="149" customFormat="1">
      <c r="A130" s="142" t="s">
        <v>58</v>
      </c>
      <c r="B130" s="141"/>
      <c r="C130" s="141"/>
      <c r="D130" s="344"/>
      <c r="E130" s="344"/>
      <c r="F130" s="344"/>
      <c r="G130" s="344"/>
      <c r="H130" s="344"/>
      <c r="I130" s="344"/>
      <c r="J130" s="219">
        <f>SUM(D130:I130)</f>
        <v>0</v>
      </c>
      <c r="K130" s="370"/>
    </row>
    <row r="131" spans="1:12" s="29" customFormat="1">
      <c r="A131" s="142" t="s">
        <v>724</v>
      </c>
      <c r="B131" s="152"/>
      <c r="C131" s="77">
        <f>74000-74000</f>
        <v>0</v>
      </c>
      <c r="D131" s="220">
        <f>+D123+D124</f>
        <v>0</v>
      </c>
      <c r="E131" s="220">
        <f>+E123+E124</f>
        <v>0</v>
      </c>
      <c r="F131" s="220">
        <f>+F123</f>
        <v>0</v>
      </c>
      <c r="G131" s="220">
        <f>+G123+G124</f>
        <v>0</v>
      </c>
      <c r="H131" s="220">
        <f>+H123+H124</f>
        <v>0</v>
      </c>
      <c r="I131" s="220"/>
      <c r="J131" s="220">
        <f>SUM(D131:I131)</f>
        <v>0</v>
      </c>
    </row>
    <row r="132" spans="1:12" s="149" customFormat="1">
      <c r="A132" s="143" t="s">
        <v>64</v>
      </c>
      <c r="B132" s="144"/>
      <c r="C132" s="145">
        <f>C110-C131+C120+C123+C121+C124</f>
        <v>0</v>
      </c>
      <c r="D132" s="265">
        <f>D127-D131</f>
        <v>0</v>
      </c>
      <c r="E132" s="265">
        <f t="shared" ref="E132:J132" si="23">E127-E131</f>
        <v>0</v>
      </c>
      <c r="F132" s="265">
        <f t="shared" si="23"/>
        <v>0</v>
      </c>
      <c r="G132" s="265">
        <f t="shared" si="23"/>
        <v>0</v>
      </c>
      <c r="H132" s="265">
        <f t="shared" si="23"/>
        <v>0</v>
      </c>
      <c r="I132" s="265">
        <f t="shared" si="23"/>
        <v>0</v>
      </c>
      <c r="J132" s="265">
        <f t="shared" si="23"/>
        <v>0</v>
      </c>
      <c r="K132" s="370"/>
    </row>
    <row r="133" spans="1:12" s="29" customFormat="1" ht="15" thickBot="1">
      <c r="A133" s="770" t="s">
        <v>65</v>
      </c>
      <c r="B133" s="152"/>
      <c r="C133" s="77">
        <f>SUM(C131:C132)</f>
        <v>0</v>
      </c>
      <c r="D133" s="220">
        <f>SUM(D131:D132)</f>
        <v>0</v>
      </c>
      <c r="E133" s="220">
        <f t="shared" ref="E133:J133" si="24">SUM(E131:E132)</f>
        <v>0</v>
      </c>
      <c r="F133" s="220">
        <f t="shared" si="24"/>
        <v>0</v>
      </c>
      <c r="G133" s="220">
        <f t="shared" si="24"/>
        <v>0</v>
      </c>
      <c r="H133" s="220">
        <f t="shared" si="24"/>
        <v>0</v>
      </c>
      <c r="I133" s="220">
        <f t="shared" si="24"/>
        <v>0</v>
      </c>
      <c r="J133" s="220">
        <f t="shared" si="24"/>
        <v>0</v>
      </c>
    </row>
    <row r="134" spans="1:12" s="370" customFormat="1" ht="16" thickTop="1">
      <c r="A134" s="25" t="s">
        <v>84</v>
      </c>
      <c r="B134" s="26"/>
      <c r="C134" s="26"/>
      <c r="D134" s="221" t="s">
        <v>0</v>
      </c>
      <c r="E134" s="221" t="s">
        <v>1</v>
      </c>
      <c r="F134" s="221" t="s">
        <v>2</v>
      </c>
      <c r="G134" s="221" t="s">
        <v>3</v>
      </c>
      <c r="H134" s="221" t="s">
        <v>4</v>
      </c>
      <c r="I134" s="221" t="s">
        <v>26</v>
      </c>
      <c r="J134" s="221" t="s">
        <v>5</v>
      </c>
      <c r="L134" s="257"/>
    </row>
    <row r="135" spans="1:12" s="370" customFormat="1">
      <c r="A135" s="349" t="s">
        <v>1002</v>
      </c>
      <c r="B135" s="16">
        <v>407600</v>
      </c>
      <c r="C135" s="350">
        <f>+B139</f>
        <v>262600</v>
      </c>
      <c r="D135" s="27"/>
      <c r="E135" s="27"/>
      <c r="F135" s="27"/>
      <c r="G135" s="27"/>
      <c r="H135" s="27"/>
      <c r="I135" s="27"/>
      <c r="J135" s="27"/>
    </row>
    <row r="136" spans="1:12" s="370" customFormat="1">
      <c r="A136" s="28" t="s">
        <v>1500</v>
      </c>
      <c r="B136" s="16">
        <v>0</v>
      </c>
      <c r="C136" s="350">
        <v>0</v>
      </c>
      <c r="D136" s="27"/>
      <c r="E136" s="27"/>
      <c r="F136" s="27"/>
      <c r="G136" s="27"/>
      <c r="H136" s="27"/>
      <c r="I136" s="27"/>
      <c r="J136" s="27"/>
    </row>
    <row r="137" spans="1:12" s="370" customFormat="1">
      <c r="A137" s="28" t="s">
        <v>1501</v>
      </c>
      <c r="B137" s="16">
        <v>-145000</v>
      </c>
      <c r="C137" s="350">
        <v>0</v>
      </c>
      <c r="D137" s="27"/>
      <c r="E137" s="27"/>
      <c r="F137" s="27"/>
      <c r="G137" s="27"/>
      <c r="H137" s="27"/>
      <c r="I137" s="27"/>
      <c r="J137" s="27"/>
    </row>
    <row r="138" spans="1:12" s="370" customFormat="1">
      <c r="A138" s="28" t="s">
        <v>1502</v>
      </c>
      <c r="B138" s="16"/>
      <c r="C138" s="350"/>
      <c r="D138" s="27"/>
      <c r="E138" s="27"/>
      <c r="F138" s="27"/>
      <c r="G138" s="27"/>
      <c r="H138" s="27"/>
      <c r="I138" s="27"/>
      <c r="J138" s="27"/>
    </row>
    <row r="139" spans="1:12" s="370" customFormat="1">
      <c r="A139" s="349" t="s">
        <v>1503</v>
      </c>
      <c r="B139" s="350">
        <v>262600</v>
      </c>
      <c r="C139" s="350">
        <f>SUM(C135:C138)</f>
        <v>262600</v>
      </c>
      <c r="D139" s="27"/>
      <c r="E139" s="27"/>
      <c r="F139" s="27"/>
      <c r="G139" s="27"/>
      <c r="H139" s="27"/>
      <c r="I139" s="27"/>
      <c r="J139" s="27"/>
    </row>
    <row r="140" spans="1:12" s="370" customFormat="1">
      <c r="A140" s="349" t="s">
        <v>47</v>
      </c>
      <c r="B140" s="350">
        <v>1313</v>
      </c>
      <c r="C140" s="350">
        <f>SUM(D140:I140)</f>
        <v>1313</v>
      </c>
      <c r="D140" s="350"/>
      <c r="E140" s="350"/>
      <c r="F140" s="350"/>
      <c r="G140" s="350"/>
      <c r="H140" s="350"/>
      <c r="I140" s="350">
        <f>ROUND(262600*0.005,0)</f>
        <v>1313</v>
      </c>
      <c r="J140" s="350">
        <f>SUM(D140:I140)</f>
        <v>1313</v>
      </c>
      <c r="K140" s="370" t="s">
        <v>85</v>
      </c>
    </row>
    <row r="141" spans="1:12" s="370" customFormat="1">
      <c r="A141" s="269" t="s">
        <v>81</v>
      </c>
      <c r="B141" s="350"/>
      <c r="C141" s="350">
        <v>0</v>
      </c>
      <c r="D141" s="350"/>
      <c r="E141" s="350"/>
      <c r="F141" s="350"/>
      <c r="G141" s="350"/>
      <c r="H141" s="350"/>
      <c r="I141" s="350">
        <v>0</v>
      </c>
      <c r="J141" s="350">
        <f>SUM(D141:I141)</f>
        <v>0</v>
      </c>
    </row>
    <row r="142" spans="1:12" s="370" customFormat="1">
      <c r="A142" s="3" t="s">
        <v>48</v>
      </c>
      <c r="B142" s="350">
        <f>B139-B140</f>
        <v>261287</v>
      </c>
      <c r="C142" s="350">
        <f>C139-C140-C141</f>
        <v>261287</v>
      </c>
      <c r="D142" s="27"/>
      <c r="E142" s="27"/>
      <c r="F142" s="27"/>
      <c r="G142" s="27"/>
      <c r="H142" s="27"/>
      <c r="I142" s="27"/>
      <c r="J142" s="27"/>
    </row>
    <row r="143" spans="1:12" s="351" customFormat="1">
      <c r="A143" s="4" t="s">
        <v>49</v>
      </c>
      <c r="B143" s="5"/>
      <c r="C143" s="5"/>
      <c r="D143" s="181"/>
      <c r="E143" s="181"/>
      <c r="F143" s="181"/>
      <c r="G143" s="181"/>
      <c r="H143" s="181"/>
      <c r="I143" s="6"/>
      <c r="J143" s="15">
        <f>SUM(D143:I143)</f>
        <v>0</v>
      </c>
      <c r="K143" s="370"/>
    </row>
    <row r="144" spans="1:12" s="370" customFormat="1">
      <c r="A144" s="349" t="s">
        <v>67</v>
      </c>
      <c r="B144" s="350"/>
      <c r="C144" s="350"/>
      <c r="D144" s="350"/>
      <c r="E144" s="350"/>
      <c r="F144" s="350"/>
      <c r="G144" s="350"/>
      <c r="H144" s="350"/>
      <c r="I144" s="350"/>
      <c r="J144" s="350">
        <f>SUM(D144:I144)</f>
        <v>0</v>
      </c>
    </row>
    <row r="145" spans="1:10" s="370" customFormat="1">
      <c r="A145" s="349" t="s">
        <v>86</v>
      </c>
      <c r="B145" s="350">
        <v>99500</v>
      </c>
      <c r="C145" s="350">
        <f>ROUND(30000*0.995,0)</f>
        <v>29850</v>
      </c>
      <c r="D145" s="350">
        <v>0</v>
      </c>
      <c r="E145" s="350">
        <v>0</v>
      </c>
      <c r="F145" s="350">
        <v>0</v>
      </c>
      <c r="G145" s="350">
        <v>0</v>
      </c>
      <c r="H145" s="350">
        <v>0</v>
      </c>
      <c r="I145" s="350">
        <f>+C145-SUM(D145:H145)</f>
        <v>29850</v>
      </c>
      <c r="J145" s="350">
        <f t="shared" ref="J145:J148" si="25">SUM(D145:I145)</f>
        <v>29850</v>
      </c>
    </row>
    <row r="146" spans="1:10" s="370" customFormat="1">
      <c r="A146" s="349" t="s">
        <v>87</v>
      </c>
      <c r="B146" s="350">
        <v>126252</v>
      </c>
      <c r="C146" s="350">
        <f>ROUND(168000*0.995,0)</f>
        <v>167160</v>
      </c>
      <c r="D146" s="350">
        <f>24297+281</f>
        <v>24578</v>
      </c>
      <c r="E146" s="350">
        <f>43437+4+150</f>
        <v>43591</v>
      </c>
      <c r="F146" s="350">
        <f>16174+564</f>
        <v>16738</v>
      </c>
      <c r="G146" s="350">
        <v>15821</v>
      </c>
      <c r="H146" s="350">
        <f>700+2604</f>
        <v>3304</v>
      </c>
      <c r="I146" s="350">
        <f t="shared" ref="I146:I148" si="26">+C146-SUM(D146:H146)</f>
        <v>63128</v>
      </c>
      <c r="J146" s="350">
        <f t="shared" si="25"/>
        <v>167160</v>
      </c>
    </row>
    <row r="147" spans="1:10" s="370" customFormat="1">
      <c r="A147" s="349" t="s">
        <v>88</v>
      </c>
      <c r="B147" s="350">
        <v>33545</v>
      </c>
      <c r="C147" s="350">
        <f>ROUND(62600*0.995,0)</f>
        <v>62287</v>
      </c>
      <c r="D147" s="350">
        <v>0</v>
      </c>
      <c r="E147" s="350">
        <v>300</v>
      </c>
      <c r="F147" s="350">
        <v>0</v>
      </c>
      <c r="G147" s="350">
        <v>0</v>
      </c>
      <c r="H147" s="350">
        <v>0</v>
      </c>
      <c r="I147" s="350">
        <f t="shared" si="26"/>
        <v>61987</v>
      </c>
      <c r="J147" s="350">
        <f t="shared" si="25"/>
        <v>62287</v>
      </c>
    </row>
    <row r="148" spans="1:10" s="370" customFormat="1">
      <c r="A148" s="349" t="s">
        <v>89</v>
      </c>
      <c r="B148" s="350">
        <v>1990</v>
      </c>
      <c r="C148" s="350">
        <f>ROUND(2000*0.995,0)</f>
        <v>1990</v>
      </c>
      <c r="D148" s="350">
        <v>0</v>
      </c>
      <c r="E148" s="350">
        <v>1990</v>
      </c>
      <c r="F148" s="350">
        <v>0</v>
      </c>
      <c r="G148" s="350">
        <v>0</v>
      </c>
      <c r="H148" s="350">
        <v>0</v>
      </c>
      <c r="I148" s="350">
        <f t="shared" si="26"/>
        <v>0</v>
      </c>
      <c r="J148" s="350">
        <f t="shared" si="25"/>
        <v>1990</v>
      </c>
    </row>
    <row r="149" spans="1:10" s="370" customFormat="1">
      <c r="A149" s="349" t="s">
        <v>65</v>
      </c>
      <c r="B149" s="350"/>
      <c r="C149" s="17"/>
      <c r="D149" s="17">
        <f t="shared" ref="D149:H149" si="27">D140+D141+D144+D145+D146+D147+D148</f>
        <v>24578</v>
      </c>
      <c r="E149" s="17">
        <f t="shared" si="27"/>
        <v>45881</v>
      </c>
      <c r="F149" s="17">
        <f t="shared" si="27"/>
        <v>16738</v>
      </c>
      <c r="G149" s="17">
        <f t="shared" si="27"/>
        <v>15821</v>
      </c>
      <c r="H149" s="17">
        <f t="shared" si="27"/>
        <v>3304</v>
      </c>
      <c r="I149" s="17">
        <f>+I141+I144+I145+I146+I147+I148</f>
        <v>154965</v>
      </c>
      <c r="J149" s="17">
        <f>+J141+J144+J145+J146+J147+J148</f>
        <v>261287</v>
      </c>
    </row>
    <row r="150" spans="1:10" s="370" customFormat="1">
      <c r="A150" s="270" t="s">
        <v>56</v>
      </c>
      <c r="B150" s="350"/>
      <c r="C150" s="350">
        <v>0</v>
      </c>
      <c r="D150" s="350">
        <v>0</v>
      </c>
      <c r="E150" s="350">
        <v>0</v>
      </c>
      <c r="F150" s="350">
        <v>0</v>
      </c>
      <c r="G150" s="350">
        <v>0</v>
      </c>
      <c r="H150" s="350">
        <v>0</v>
      </c>
      <c r="I150" s="350">
        <v>0</v>
      </c>
      <c r="J150" s="350">
        <v>0</v>
      </c>
    </row>
    <row r="151" spans="1:10" s="370" customFormat="1">
      <c r="A151" s="349" t="s">
        <v>57</v>
      </c>
      <c r="B151" s="350"/>
      <c r="C151" s="17">
        <f>C141</f>
        <v>0</v>
      </c>
      <c r="D151" s="218">
        <f>D149+D150</f>
        <v>24578</v>
      </c>
      <c r="E151" s="218">
        <f t="shared" ref="E151:J151" si="28">E149+E150</f>
        <v>45881</v>
      </c>
      <c r="F151" s="218">
        <f t="shared" si="28"/>
        <v>16738</v>
      </c>
      <c r="G151" s="218">
        <f t="shared" si="28"/>
        <v>15821</v>
      </c>
      <c r="H151" s="218">
        <f t="shared" si="28"/>
        <v>3304</v>
      </c>
      <c r="I151" s="218">
        <f t="shared" si="28"/>
        <v>154965</v>
      </c>
      <c r="J151" s="218">
        <f t="shared" si="28"/>
        <v>261287</v>
      </c>
    </row>
    <row r="152" spans="1:10" s="370" customFormat="1" hidden="1">
      <c r="A152" s="142" t="s">
        <v>58</v>
      </c>
      <c r="B152" s="141"/>
      <c r="C152" s="141"/>
      <c r="D152" s="344"/>
      <c r="E152" s="344"/>
      <c r="F152" s="344"/>
      <c r="G152" s="344"/>
      <c r="H152" s="344"/>
      <c r="I152" s="344"/>
      <c r="J152" s="219">
        <f>SUM(D152:I152)</f>
        <v>0</v>
      </c>
    </row>
    <row r="153" spans="1:10" s="29" customFormat="1">
      <c r="A153" s="142" t="s">
        <v>724</v>
      </c>
      <c r="B153" s="152"/>
      <c r="C153" s="77">
        <f>+J153</f>
        <v>106322</v>
      </c>
      <c r="D153" s="220">
        <f>+D151</f>
        <v>24578</v>
      </c>
      <c r="E153" s="220">
        <f>+E151</f>
        <v>45881</v>
      </c>
      <c r="F153" s="220">
        <f>+F151</f>
        <v>16738</v>
      </c>
      <c r="G153" s="220">
        <f>+G151</f>
        <v>15821</v>
      </c>
      <c r="H153" s="220">
        <f>+H151</f>
        <v>3304</v>
      </c>
      <c r="I153" s="220"/>
      <c r="J153" s="220">
        <f>SUM(D153:I153)</f>
        <v>106322</v>
      </c>
    </row>
    <row r="154" spans="1:10" s="370" customFormat="1">
      <c r="A154" s="143" t="s">
        <v>64</v>
      </c>
      <c r="B154" s="144"/>
      <c r="C154" s="145">
        <f>C139-C153</f>
        <v>156278</v>
      </c>
      <c r="D154" s="265">
        <f>D149-D153</f>
        <v>0</v>
      </c>
      <c r="E154" s="265">
        <f t="shared" ref="E154:H154" si="29">E149-E153</f>
        <v>0</v>
      </c>
      <c r="F154" s="265">
        <f t="shared" si="29"/>
        <v>0</v>
      </c>
      <c r="G154" s="265">
        <f t="shared" si="29"/>
        <v>0</v>
      </c>
      <c r="H154" s="265">
        <f t="shared" si="29"/>
        <v>0</v>
      </c>
      <c r="I154" s="265">
        <f>I149-I153+I140</f>
        <v>156278</v>
      </c>
      <c r="J154" s="265">
        <f>J149-J153+J140</f>
        <v>156278</v>
      </c>
    </row>
    <row r="155" spans="1:10" s="29" customFormat="1" ht="15" thickBot="1">
      <c r="A155" s="770" t="s">
        <v>65</v>
      </c>
      <c r="B155" s="152"/>
      <c r="C155" s="77">
        <f>SUM(C153:C154)</f>
        <v>262600</v>
      </c>
      <c r="D155" s="220">
        <f>SUM(D153:D154)</f>
        <v>24578</v>
      </c>
      <c r="E155" s="220">
        <f t="shared" ref="E155:J155" si="30">SUM(E153:E154)</f>
        <v>45881</v>
      </c>
      <c r="F155" s="220">
        <f t="shared" si="30"/>
        <v>16738</v>
      </c>
      <c r="G155" s="220">
        <f t="shared" si="30"/>
        <v>15821</v>
      </c>
      <c r="H155" s="220">
        <f t="shared" si="30"/>
        <v>3304</v>
      </c>
      <c r="I155" s="220">
        <f t="shared" si="30"/>
        <v>156278</v>
      </c>
      <c r="J155" s="220">
        <f t="shared" si="30"/>
        <v>262600</v>
      </c>
    </row>
    <row r="156" spans="1:10" ht="16" thickTop="1">
      <c r="A156" s="25" t="s">
        <v>90</v>
      </c>
      <c r="B156" s="26"/>
      <c r="C156" s="26"/>
      <c r="D156" s="221" t="s">
        <v>0</v>
      </c>
      <c r="E156" s="221" t="s">
        <v>1</v>
      </c>
      <c r="F156" s="221" t="s">
        <v>2</v>
      </c>
      <c r="G156" s="221" t="s">
        <v>3</v>
      </c>
      <c r="H156" s="221" t="s">
        <v>4</v>
      </c>
      <c r="I156" s="221" t="s">
        <v>26</v>
      </c>
      <c r="J156" s="221" t="s">
        <v>5</v>
      </c>
    </row>
    <row r="157" spans="1:10">
      <c r="A157" s="349" t="s">
        <v>1002</v>
      </c>
      <c r="B157" s="350">
        <v>22470</v>
      </c>
      <c r="C157" s="350">
        <f>B161</f>
        <v>20470</v>
      </c>
      <c r="D157" s="27"/>
      <c r="E157" s="27"/>
      <c r="F157" s="27"/>
      <c r="G157" s="27"/>
      <c r="H157" s="27"/>
      <c r="I157" s="27"/>
      <c r="J157" s="27"/>
    </row>
    <row r="158" spans="1:10" s="149" customFormat="1">
      <c r="A158" s="28" t="s">
        <v>1500</v>
      </c>
      <c r="B158" s="16">
        <v>0</v>
      </c>
      <c r="C158" s="350">
        <v>0</v>
      </c>
      <c r="D158" s="27"/>
      <c r="E158" s="27"/>
      <c r="F158" s="27"/>
      <c r="G158" s="27"/>
      <c r="H158" s="27"/>
      <c r="I158" s="27"/>
      <c r="J158" s="27"/>
    </row>
    <row r="159" spans="1:10">
      <c r="A159" s="28" t="s">
        <v>1501</v>
      </c>
      <c r="B159" s="350">
        <v>-2000</v>
      </c>
      <c r="C159" s="350">
        <v>-10470</v>
      </c>
      <c r="D159" s="27"/>
      <c r="E159" s="27"/>
      <c r="F159" s="27"/>
      <c r="G159" s="27"/>
      <c r="H159" s="27"/>
      <c r="I159" s="27"/>
      <c r="J159" s="27"/>
    </row>
    <row r="160" spans="1:10">
      <c r="A160" s="28" t="s">
        <v>1502</v>
      </c>
      <c r="B160" s="350">
        <v>0</v>
      </c>
      <c r="C160" s="350">
        <f>-C157*0</f>
        <v>0</v>
      </c>
      <c r="D160" s="27"/>
      <c r="E160" s="27"/>
      <c r="F160" s="27"/>
      <c r="G160" s="27"/>
      <c r="H160" s="27"/>
      <c r="I160" s="27"/>
      <c r="J160" s="27"/>
    </row>
    <row r="161" spans="1:10">
      <c r="A161" s="349" t="s">
        <v>1503</v>
      </c>
      <c r="B161" s="350">
        <v>20470</v>
      </c>
      <c r="C161" s="350">
        <f>SUM(C157:C160)</f>
        <v>10000</v>
      </c>
      <c r="D161" s="27"/>
      <c r="E161" s="27"/>
      <c r="F161" s="27"/>
      <c r="G161" s="27"/>
      <c r="H161" s="27"/>
      <c r="I161" s="27"/>
      <c r="J161" s="27"/>
    </row>
    <row r="162" spans="1:10">
      <c r="A162" s="349" t="s">
        <v>47</v>
      </c>
      <c r="B162" s="350">
        <v>1130</v>
      </c>
      <c r="C162" s="353">
        <f>'DOI Prog&amp;SLA Summary'!K40</f>
        <v>1323</v>
      </c>
      <c r="D162" s="353">
        <f>'DOI Prog&amp;SLA Summary'!E40</f>
        <v>251</v>
      </c>
      <c r="E162" s="353">
        <f>'DOI Prog&amp;SLA Summary'!F40</f>
        <v>309</v>
      </c>
      <c r="F162" s="353">
        <f>'DOI Prog&amp;SLA Summary'!G40</f>
        <v>249</v>
      </c>
      <c r="G162" s="353">
        <f>'DOI Prog&amp;SLA Summary'!H40</f>
        <v>462</v>
      </c>
      <c r="H162" s="353">
        <f>'DOI Prog&amp;SLA Summary'!I40</f>
        <v>52</v>
      </c>
      <c r="I162" s="353">
        <f>'DOI Prog&amp;SLA Summary'!J40</f>
        <v>0</v>
      </c>
      <c r="J162" s="353">
        <f>SUM(D162:I162)</f>
        <v>1323</v>
      </c>
    </row>
    <row r="163" spans="1:10" s="149" customFormat="1">
      <c r="A163" s="269" t="s">
        <v>81</v>
      </c>
      <c r="B163" s="350">
        <v>0</v>
      </c>
      <c r="C163" s="350">
        <v>0</v>
      </c>
      <c r="D163" s="350"/>
      <c r="E163" s="350"/>
      <c r="F163" s="350"/>
      <c r="G163" s="350"/>
      <c r="H163" s="350"/>
      <c r="I163" s="350">
        <v>0</v>
      </c>
      <c r="J163" s="350">
        <f>SUM(D163:I163)</f>
        <v>0</v>
      </c>
    </row>
    <row r="164" spans="1:10">
      <c r="A164" s="3" t="s">
        <v>48</v>
      </c>
      <c r="B164" s="350">
        <f>B161-B162</f>
        <v>19340</v>
      </c>
      <c r="C164" s="350">
        <f>C161-C162</f>
        <v>8677</v>
      </c>
      <c r="D164" s="27"/>
      <c r="E164" s="27"/>
      <c r="F164" s="27"/>
      <c r="G164" s="27"/>
      <c r="H164" s="27"/>
      <c r="I164" s="27"/>
      <c r="J164" s="27"/>
    </row>
    <row r="165" spans="1:10" s="149" customFormat="1">
      <c r="A165" s="349" t="s">
        <v>67</v>
      </c>
      <c r="B165" s="350">
        <f>B164</f>
        <v>19340</v>
      </c>
      <c r="C165" s="343">
        <f>SUM(D165:I165)</f>
        <v>8677.3000000000011</v>
      </c>
      <c r="D165" s="358">
        <f>('Prep%Fuelspercentage.direct'!D19)+593</f>
        <v>3786.136</v>
      </c>
      <c r="E165" s="358">
        <f>('Prep%Fuelspercentage.direct'!E19)-45-196-592.4</f>
        <v>3748.056</v>
      </c>
      <c r="F165" s="358">
        <f>('Prep%Fuelspercentage.direct'!F19)+195.7</f>
        <v>724.99700000000007</v>
      </c>
      <c r="G165" s="358">
        <f>('Prep%Fuelspercentage.direct'!G19)+45</f>
        <v>418.11099999999999</v>
      </c>
      <c r="H165" s="343">
        <f>'Prep%Fuelspercentage.direct'!H19</f>
        <v>0</v>
      </c>
      <c r="I165" s="343">
        <f>'Prep%Fuelspercentage.direct'!I19</f>
        <v>0</v>
      </c>
      <c r="J165" s="343">
        <f t="shared" ref="J165:J175" si="31">SUM(D165:I165)</f>
        <v>8677.3000000000011</v>
      </c>
    </row>
    <row r="166" spans="1:10" s="149" customFormat="1">
      <c r="A166" s="270" t="s">
        <v>56</v>
      </c>
      <c r="B166" s="350">
        <v>0</v>
      </c>
      <c r="C166" s="350">
        <v>0</v>
      </c>
      <c r="D166" s="303">
        <f>($C166*'Prep%Fuelspercentage.direct'!D18)</f>
        <v>0</v>
      </c>
      <c r="E166" s="303">
        <f>$C166*'Prep%Fuelspercentage.direct'!E18</f>
        <v>0</v>
      </c>
      <c r="F166" s="303">
        <f>$C166*'Prep%Fuelspercentage.direct'!F18</f>
        <v>0</v>
      </c>
      <c r="G166" s="303">
        <f>($C166*'Prep%Fuelspercentage.direct'!G18)</f>
        <v>0</v>
      </c>
      <c r="H166" s="350">
        <f>$C166*'Prep%Fuelspercentage.direct'!H18</f>
        <v>0</v>
      </c>
      <c r="I166" s="350">
        <f>$C166*'Prep%Fuelspercentage.direct'!I18</f>
        <v>0</v>
      </c>
      <c r="J166" s="350">
        <f t="shared" si="31"/>
        <v>0</v>
      </c>
    </row>
    <row r="167" spans="1:10">
      <c r="A167" s="349" t="s">
        <v>57</v>
      </c>
      <c r="B167" s="350"/>
      <c r="C167" s="17">
        <f>SUM(C165:C166)+C162</f>
        <v>10000.300000000001</v>
      </c>
      <c r="D167" s="17">
        <f t="shared" ref="D167:I167" si="32">SUM(D165:D166)+D162</f>
        <v>4037.136</v>
      </c>
      <c r="E167" s="17">
        <f t="shared" si="32"/>
        <v>4057.056</v>
      </c>
      <c r="F167" s="17">
        <f t="shared" si="32"/>
        <v>973.99700000000007</v>
      </c>
      <c r="G167" s="17">
        <f t="shared" si="32"/>
        <v>880.11099999999999</v>
      </c>
      <c r="H167" s="17">
        <f t="shared" si="32"/>
        <v>52</v>
      </c>
      <c r="I167" s="17">
        <f t="shared" si="32"/>
        <v>0</v>
      </c>
      <c r="J167" s="17">
        <f t="shared" si="31"/>
        <v>10000.300000000001</v>
      </c>
    </row>
    <row r="168" spans="1:10" s="370" customFormat="1">
      <c r="A168" s="142" t="s">
        <v>58</v>
      </c>
      <c r="B168" s="141"/>
      <c r="C168" s="141"/>
      <c r="D168" s="274">
        <f>+ROUND(+D167/$C$167,4)</f>
        <v>0.4037</v>
      </c>
      <c r="E168" s="274">
        <f t="shared" ref="E168:J168" si="33">+ROUND(+E167/$C$167,4)</f>
        <v>0.40570000000000001</v>
      </c>
      <c r="F168" s="274">
        <f t="shared" si="33"/>
        <v>9.74E-2</v>
      </c>
      <c r="G168" s="274">
        <f t="shared" si="33"/>
        <v>8.7999999999999995E-2</v>
      </c>
      <c r="H168" s="274">
        <f t="shared" si="33"/>
        <v>5.1999999999999998E-3</v>
      </c>
      <c r="I168" s="274">
        <f t="shared" si="33"/>
        <v>0</v>
      </c>
      <c r="J168" s="274">
        <f t="shared" si="33"/>
        <v>1</v>
      </c>
    </row>
    <row r="169" spans="1:10" s="370" customFormat="1" hidden="1">
      <c r="A169" s="142" t="s">
        <v>725</v>
      </c>
      <c r="B169" s="152"/>
      <c r="C169" s="342">
        <v>0</v>
      </c>
      <c r="D169" s="353"/>
      <c r="E169" s="353"/>
      <c r="F169" s="353"/>
      <c r="G169" s="353"/>
      <c r="H169" s="353"/>
      <c r="I169" s="353"/>
      <c r="J169" s="353">
        <f t="shared" si="31"/>
        <v>0</v>
      </c>
    </row>
    <row r="170" spans="1:10" s="370" customFormat="1">
      <c r="A170" s="142" t="s">
        <v>1496</v>
      </c>
      <c r="B170" s="152"/>
      <c r="C170" s="342">
        <f>784+265+1</f>
        <v>1050</v>
      </c>
      <c r="D170" s="353">
        <v>0</v>
      </c>
      <c r="E170" s="353">
        <v>1000</v>
      </c>
      <c r="F170" s="353">
        <v>0</v>
      </c>
      <c r="G170" s="353">
        <v>0</v>
      </c>
      <c r="H170" s="353">
        <v>50</v>
      </c>
      <c r="I170" s="353">
        <f>+C170-SUM(D170:H170)</f>
        <v>0</v>
      </c>
      <c r="J170" s="353">
        <f t="shared" si="31"/>
        <v>1050</v>
      </c>
    </row>
    <row r="171" spans="1:10" s="29" customFormat="1">
      <c r="A171" s="142" t="s">
        <v>59</v>
      </c>
      <c r="B171" s="152"/>
      <c r="C171" s="342">
        <f>1960-0</f>
        <v>1960</v>
      </c>
      <c r="D171" s="353">
        <v>1458</v>
      </c>
      <c r="E171" s="353">
        <v>500</v>
      </c>
      <c r="F171" s="353">
        <v>0</v>
      </c>
      <c r="G171" s="353">
        <v>0</v>
      </c>
      <c r="H171" s="353">
        <v>2</v>
      </c>
      <c r="I171" s="353">
        <f>+C171-SUM(D171:H171)</f>
        <v>0</v>
      </c>
      <c r="J171" s="353">
        <f>SUM(D171:I171)</f>
        <v>1960</v>
      </c>
    </row>
    <row r="172" spans="1:10" s="29" customFormat="1">
      <c r="A172" s="142" t="s">
        <v>71</v>
      </c>
      <c r="B172" s="152"/>
      <c r="C172" s="342">
        <v>4307</v>
      </c>
      <c r="D172" s="353">
        <f>2217+262</f>
        <v>2479</v>
      </c>
      <c r="E172" s="353">
        <f>2557-1000</f>
        <v>1557</v>
      </c>
      <c r="F172" s="353">
        <f>1236-50-262</f>
        <v>924</v>
      </c>
      <c r="G172" s="353">
        <f>880-50</f>
        <v>830</v>
      </c>
      <c r="H172" s="353">
        <v>0</v>
      </c>
      <c r="I172" s="353">
        <f>+C172-SUM(D172:H172)</f>
        <v>-1483</v>
      </c>
      <c r="J172" s="353">
        <f>SUM(D172:I172)</f>
        <v>4307</v>
      </c>
    </row>
    <row r="173" spans="1:10" s="29" customFormat="1">
      <c r="A173" s="142" t="s">
        <v>63</v>
      </c>
      <c r="B173" s="152"/>
      <c r="C173" s="342">
        <v>2683</v>
      </c>
      <c r="D173" s="353">
        <v>100</v>
      </c>
      <c r="E173" s="353">
        <v>1000</v>
      </c>
      <c r="F173" s="353">
        <v>50</v>
      </c>
      <c r="G173" s="353">
        <v>50</v>
      </c>
      <c r="H173" s="353"/>
      <c r="I173" s="353">
        <v>1483</v>
      </c>
      <c r="J173" s="353">
        <f t="shared" si="31"/>
        <v>2683</v>
      </c>
    </row>
    <row r="174" spans="1:10" s="149" customFormat="1">
      <c r="A174" s="143" t="s">
        <v>64</v>
      </c>
      <c r="B174" s="144"/>
      <c r="C174" s="145">
        <f>C167-C171-C173-C170+C166-C172-C169</f>
        <v>0.30000000000109139</v>
      </c>
      <c r="D174" s="145">
        <f>(D167-D171-D169-D170-D173-D172)</f>
        <v>0.13599999999996726</v>
      </c>
      <c r="E174" s="145">
        <f>(E167-E171-E169-E170-E173-E172)</f>
        <v>5.6000000000040018E-2</v>
      </c>
      <c r="F174" s="145">
        <f>(F167-F171-F169-F170-F173-F172)</f>
        <v>-2.9999999999290594E-3</v>
      </c>
      <c r="G174" s="145">
        <f>(G167-G171-G169-G170-G173-G172)</f>
        <v>0.11099999999999</v>
      </c>
      <c r="H174" s="145">
        <f>H167-H171-H169-H170-H173-H172</f>
        <v>0</v>
      </c>
      <c r="I174" s="145">
        <f>(I167-I171-I169-I170-I173-I172)</f>
        <v>0</v>
      </c>
      <c r="J174" s="146">
        <f>SUM(D174:I174)</f>
        <v>0.30000000000006821</v>
      </c>
    </row>
    <row r="175" spans="1:10" s="29" customFormat="1" ht="15" thickBot="1">
      <c r="A175" s="770" t="s">
        <v>65</v>
      </c>
      <c r="B175" s="152"/>
      <c r="C175" s="77">
        <f t="shared" ref="C175:I175" si="34">SUM(C169:C174)</f>
        <v>10000.300000000001</v>
      </c>
      <c r="D175" s="350">
        <f t="shared" si="34"/>
        <v>4037.136</v>
      </c>
      <c r="E175" s="350">
        <f t="shared" si="34"/>
        <v>4057.056</v>
      </c>
      <c r="F175" s="350">
        <f t="shared" si="34"/>
        <v>973.99700000000007</v>
      </c>
      <c r="G175" s="350">
        <f t="shared" si="34"/>
        <v>880.11099999999999</v>
      </c>
      <c r="H175" s="350">
        <f t="shared" si="34"/>
        <v>52</v>
      </c>
      <c r="I175" s="350">
        <f t="shared" si="34"/>
        <v>0</v>
      </c>
      <c r="J175" s="17">
        <f t="shared" si="31"/>
        <v>10000.300000000001</v>
      </c>
    </row>
    <row r="176" spans="1:10" ht="16" thickTop="1">
      <c r="A176" s="25" t="s">
        <v>91</v>
      </c>
      <c r="B176" s="26"/>
      <c r="C176" s="26"/>
      <c r="D176" s="221" t="s">
        <v>0</v>
      </c>
      <c r="E176" s="221" t="s">
        <v>1</v>
      </c>
      <c r="F176" s="221" t="s">
        <v>2</v>
      </c>
      <c r="G176" s="221" t="s">
        <v>3</v>
      </c>
      <c r="H176" s="221" t="s">
        <v>4</v>
      </c>
      <c r="I176" s="221" t="s">
        <v>26</v>
      </c>
      <c r="J176" s="221" t="s">
        <v>5</v>
      </c>
    </row>
    <row r="177" spans="1:17">
      <c r="A177" s="349" t="s">
        <v>1002</v>
      </c>
      <c r="B177" s="350">
        <v>18427</v>
      </c>
      <c r="C177" s="350">
        <f>B181</f>
        <v>10000</v>
      </c>
      <c r="D177" s="27"/>
      <c r="E177" s="27"/>
      <c r="F177" s="27"/>
      <c r="G177" s="27"/>
      <c r="H177" s="27"/>
      <c r="I177" s="27"/>
      <c r="J177" s="27"/>
    </row>
    <row r="178" spans="1:17" s="149" customFormat="1">
      <c r="A178" s="28" t="s">
        <v>1500</v>
      </c>
      <c r="B178" s="16">
        <v>0</v>
      </c>
      <c r="C178" s="350">
        <v>0</v>
      </c>
      <c r="D178" s="27"/>
      <c r="E178" s="27"/>
      <c r="F178" s="27"/>
      <c r="G178" s="27"/>
      <c r="H178" s="27"/>
      <c r="I178" s="27"/>
      <c r="J178" s="27"/>
    </row>
    <row r="179" spans="1:17">
      <c r="A179" s="28" t="s">
        <v>1501</v>
      </c>
      <c r="B179" s="350">
        <v>-8427</v>
      </c>
      <c r="C179" s="350"/>
      <c r="D179" s="27"/>
      <c r="E179" s="27"/>
      <c r="F179" s="27"/>
      <c r="G179" s="27"/>
      <c r="H179" s="27"/>
      <c r="I179" s="27"/>
      <c r="J179" s="27"/>
    </row>
    <row r="180" spans="1:17">
      <c r="A180" s="28" t="s">
        <v>1502</v>
      </c>
      <c r="B180" s="350">
        <v>0</v>
      </c>
      <c r="C180" s="350">
        <f>-C177*0</f>
        <v>0</v>
      </c>
      <c r="D180" s="27"/>
      <c r="E180" s="27"/>
      <c r="F180" s="27"/>
      <c r="G180" s="27"/>
      <c r="H180" s="27"/>
      <c r="I180" s="27"/>
      <c r="J180" s="27"/>
    </row>
    <row r="181" spans="1:17">
      <c r="A181" s="349" t="s">
        <v>1503</v>
      </c>
      <c r="B181" s="350">
        <v>10000</v>
      </c>
      <c r="C181" s="350">
        <f>SUM(C177:C180)</f>
        <v>10000</v>
      </c>
      <c r="D181" s="27"/>
      <c r="E181" s="27"/>
      <c r="F181" s="27"/>
      <c r="G181" s="27"/>
      <c r="H181" s="27"/>
      <c r="I181" s="27"/>
      <c r="J181" s="27"/>
    </row>
    <row r="182" spans="1:17">
      <c r="A182" s="349" t="s">
        <v>47</v>
      </c>
      <c r="B182" s="350">
        <v>0</v>
      </c>
      <c r="C182" s="350">
        <v>0</v>
      </c>
      <c r="D182" s="350">
        <v>0</v>
      </c>
      <c r="E182" s="350">
        <v>0</v>
      </c>
      <c r="F182" s="350">
        <v>0</v>
      </c>
      <c r="G182" s="350">
        <v>0</v>
      </c>
      <c r="H182" s="350">
        <v>0</v>
      </c>
      <c r="I182" s="350">
        <v>0</v>
      </c>
      <c r="J182" s="350">
        <f>SUM(D182:I182)</f>
        <v>0</v>
      </c>
    </row>
    <row r="183" spans="1:17">
      <c r="A183" s="3" t="s">
        <v>48</v>
      </c>
      <c r="B183" s="350">
        <f>B181-B182</f>
        <v>10000</v>
      </c>
      <c r="C183" s="350">
        <f>C181-C182</f>
        <v>10000</v>
      </c>
      <c r="D183" s="27"/>
      <c r="E183" s="27"/>
      <c r="F183" s="27"/>
      <c r="G183" s="27"/>
      <c r="H183" s="27"/>
      <c r="I183" s="27"/>
      <c r="J183" s="27"/>
      <c r="K183" s="370"/>
      <c r="L183" s="370"/>
      <c r="M183" s="370"/>
      <c r="N183" s="370"/>
      <c r="O183" s="370"/>
      <c r="P183" s="370"/>
      <c r="Q183" s="370"/>
    </row>
    <row r="184" spans="1:17" s="149" customFormat="1" hidden="1">
      <c r="A184" s="349" t="s">
        <v>92</v>
      </c>
      <c r="B184" s="350">
        <v>0</v>
      </c>
      <c r="C184" s="350">
        <v>0</v>
      </c>
      <c r="D184" s="156">
        <v>0</v>
      </c>
      <c r="E184" s="156">
        <v>0</v>
      </c>
      <c r="F184" s="156">
        <v>0</v>
      </c>
      <c r="G184" s="156">
        <v>0</v>
      </c>
      <c r="H184" s="156">
        <v>0</v>
      </c>
      <c r="I184" s="156">
        <f>+C184</f>
        <v>0</v>
      </c>
      <c r="J184" s="350">
        <f>SUM(D184:I184)</f>
        <v>0</v>
      </c>
      <c r="K184" s="370"/>
      <c r="L184" s="370"/>
      <c r="M184" s="370"/>
      <c r="N184" s="370"/>
      <c r="O184" s="370"/>
      <c r="P184" s="370"/>
      <c r="Q184" s="370"/>
    </row>
    <row r="185" spans="1:17">
      <c r="A185" s="349" t="s">
        <v>67</v>
      </c>
      <c r="B185" s="350">
        <f>+B183-B186</f>
        <v>9721</v>
      </c>
      <c r="C185" s="350">
        <f>+C183-C184-C186</f>
        <v>9621</v>
      </c>
      <c r="D185" s="350">
        <f>(+'Facilities Plan'!I16)/1000</f>
        <v>0</v>
      </c>
      <c r="E185" s="303">
        <f>((+'Facilities Plan'!G17)/1000)-E186</f>
        <v>4810.5200000000004</v>
      </c>
      <c r="F185" s="350">
        <f>((+'Facilities Plan'!G18)/1000)-F186</f>
        <v>1500.0889999999999</v>
      </c>
      <c r="G185" s="350">
        <f>((+'Facilities Plan'!G19)/1000)-G186</f>
        <v>3310.3910000000001</v>
      </c>
      <c r="H185" s="350">
        <v>0</v>
      </c>
      <c r="I185" s="350">
        <f>+C185-SUM(D185:G185)</f>
        <v>0</v>
      </c>
      <c r="J185" s="350">
        <f t="shared" ref="J185:J196" si="35">SUM(D185:I185)</f>
        <v>9621</v>
      </c>
      <c r="K185" s="370"/>
      <c r="L185" s="370"/>
      <c r="M185" s="370"/>
      <c r="N185" s="370"/>
      <c r="O185" s="370"/>
      <c r="P185" s="370"/>
      <c r="Q185" s="370"/>
    </row>
    <row r="186" spans="1:17" s="149" customFormat="1">
      <c r="A186" s="349" t="s">
        <v>93</v>
      </c>
      <c r="B186" s="350">
        <v>279</v>
      </c>
      <c r="C186" s="350">
        <f>SUM(D186:I186)</f>
        <v>379</v>
      </c>
      <c r="D186" s="350">
        <f>ROUND((+'Facilities Plan'!I16/1000),0)</f>
        <v>0</v>
      </c>
      <c r="E186" s="350">
        <f>ROUND((+'Facilities Plan'!I10/1000),0)</f>
        <v>190</v>
      </c>
      <c r="F186" s="350">
        <f>ROUND((+'Facilities Plan'!I11/1000),0)</f>
        <v>59</v>
      </c>
      <c r="G186" s="350">
        <f>ROUND((+'Facilities Plan'!I12/1000),0)</f>
        <v>130</v>
      </c>
      <c r="H186" s="350">
        <v>0</v>
      </c>
      <c r="I186" s="350">
        <v>0</v>
      </c>
      <c r="J186" s="350">
        <f t="shared" si="35"/>
        <v>379</v>
      </c>
      <c r="K186" s="370"/>
      <c r="L186" s="370"/>
      <c r="M186" s="370"/>
      <c r="N186" s="370"/>
      <c r="O186" s="370"/>
      <c r="P186" s="370"/>
      <c r="Q186" s="370"/>
    </row>
    <row r="187" spans="1:17" s="347" customFormat="1">
      <c r="A187" s="270" t="s">
        <v>56</v>
      </c>
      <c r="B187" s="350">
        <v>0</v>
      </c>
      <c r="C187" s="350">
        <v>0</v>
      </c>
      <c r="D187" s="350">
        <v>0</v>
      </c>
      <c r="E187" s="350">
        <v>0</v>
      </c>
      <c r="F187" s="350">
        <v>0</v>
      </c>
      <c r="G187" s="350">
        <v>0</v>
      </c>
      <c r="H187" s="350">
        <v>0</v>
      </c>
      <c r="I187" s="350">
        <v>0</v>
      </c>
      <c r="J187" s="350">
        <f>SUM(D187:I187)</f>
        <v>0</v>
      </c>
      <c r="K187" s="370"/>
      <c r="L187" s="370"/>
      <c r="M187" s="370"/>
      <c r="N187" s="370"/>
      <c r="O187" s="370"/>
      <c r="P187" s="370"/>
      <c r="Q187" s="370"/>
    </row>
    <row r="188" spans="1:17">
      <c r="A188" s="349" t="s">
        <v>57</v>
      </c>
      <c r="B188" s="350"/>
      <c r="C188" s="17">
        <f>+C184+C185+C186+C187</f>
        <v>10000</v>
      </c>
      <c r="D188" s="350">
        <f>+D185+D186</f>
        <v>0</v>
      </c>
      <c r="E188" s="350">
        <f>+E185+E186</f>
        <v>5000.5200000000004</v>
      </c>
      <c r="F188" s="350">
        <f>+F185+F186</f>
        <v>1559.0889999999999</v>
      </c>
      <c r="G188" s="350">
        <f>+G185+G186</f>
        <v>3440.3910000000001</v>
      </c>
      <c r="H188" s="350">
        <v>0</v>
      </c>
      <c r="I188" s="350">
        <f>+I185+I186</f>
        <v>0</v>
      </c>
      <c r="J188" s="218">
        <f>J185+J182+J186+J184</f>
        <v>10000</v>
      </c>
      <c r="K188" s="370"/>
      <c r="L188" s="370"/>
      <c r="M188" s="370"/>
      <c r="N188" s="370"/>
      <c r="O188" s="370"/>
      <c r="P188" s="370"/>
      <c r="Q188" s="370"/>
    </row>
    <row r="189" spans="1:17">
      <c r="A189" s="142" t="s">
        <v>58</v>
      </c>
      <c r="B189" s="141"/>
      <c r="C189" s="141"/>
      <c r="D189" s="350">
        <v>0</v>
      </c>
      <c r="E189" s="350">
        <v>0</v>
      </c>
      <c r="F189" s="350">
        <v>0</v>
      </c>
      <c r="G189" s="350">
        <v>0</v>
      </c>
      <c r="H189" s="350">
        <v>0</v>
      </c>
      <c r="I189" s="350">
        <v>0</v>
      </c>
      <c r="J189" s="344">
        <f t="shared" si="35"/>
        <v>0</v>
      </c>
      <c r="K189" s="370"/>
      <c r="L189" s="370"/>
      <c r="M189" s="370"/>
      <c r="N189" s="370"/>
      <c r="O189" s="370"/>
      <c r="P189" s="370"/>
      <c r="Q189" s="370"/>
    </row>
    <row r="190" spans="1:17" s="370" customFormat="1" hidden="1">
      <c r="A190" s="142" t="s">
        <v>725</v>
      </c>
      <c r="B190" s="152"/>
      <c r="C190" s="342">
        <v>0</v>
      </c>
      <c r="D190" s="353"/>
      <c r="E190" s="353"/>
      <c r="F190" s="353"/>
      <c r="G190" s="353"/>
      <c r="H190" s="353"/>
      <c r="I190" s="353"/>
      <c r="J190" s="234">
        <f t="shared" si="35"/>
        <v>0</v>
      </c>
      <c r="K190" s="29"/>
      <c r="L190" s="29"/>
      <c r="M190" s="29"/>
      <c r="N190" s="29"/>
      <c r="O190" s="29"/>
      <c r="P190" s="29"/>
      <c r="Q190" s="29"/>
    </row>
    <row r="191" spans="1:17" s="370" customFormat="1">
      <c r="A191" s="142" t="s">
        <v>1496</v>
      </c>
      <c r="B191" s="152"/>
      <c r="C191" s="342">
        <f>383+820</f>
        <v>1203</v>
      </c>
      <c r="D191" s="353">
        <v>0</v>
      </c>
      <c r="E191" s="353">
        <v>0</v>
      </c>
      <c r="F191" s="353">
        <v>0</v>
      </c>
      <c r="G191" s="353">
        <v>0</v>
      </c>
      <c r="H191" s="353">
        <v>0</v>
      </c>
      <c r="I191" s="353">
        <f>+C191</f>
        <v>1203</v>
      </c>
      <c r="J191" s="234">
        <f>SUM(D191:I191)</f>
        <v>1203</v>
      </c>
      <c r="K191" s="29"/>
      <c r="L191" s="29"/>
      <c r="M191" s="29"/>
      <c r="N191" s="29"/>
      <c r="O191" s="29"/>
      <c r="P191" s="29"/>
      <c r="Q191" s="29"/>
    </row>
    <row r="192" spans="1:17" s="370" customFormat="1">
      <c r="A192" s="142" t="s">
        <v>59</v>
      </c>
      <c r="B192" s="152"/>
      <c r="C192" s="342">
        <f>955-3</f>
        <v>952</v>
      </c>
      <c r="D192" s="353">
        <v>0</v>
      </c>
      <c r="E192" s="353">
        <v>0</v>
      </c>
      <c r="F192" s="353">
        <v>0</v>
      </c>
      <c r="G192" s="353">
        <v>0</v>
      </c>
      <c r="H192" s="353">
        <v>0</v>
      </c>
      <c r="I192" s="353">
        <f>+C192</f>
        <v>952</v>
      </c>
      <c r="J192" s="234">
        <f t="shared" si="35"/>
        <v>952</v>
      </c>
      <c r="K192" s="29"/>
      <c r="L192" s="29"/>
      <c r="M192" s="29"/>
      <c r="N192" s="29"/>
      <c r="O192" s="29"/>
      <c r="P192" s="29"/>
      <c r="Q192" s="29"/>
    </row>
    <row r="193" spans="1:17" s="29" customFormat="1">
      <c r="A193" s="142" t="s">
        <v>71</v>
      </c>
      <c r="B193" s="152"/>
      <c r="C193" s="342">
        <v>2104</v>
      </c>
      <c r="D193" s="353">
        <v>0</v>
      </c>
      <c r="E193" s="353">
        <v>0</v>
      </c>
      <c r="F193" s="353">
        <v>0</v>
      </c>
      <c r="G193" s="353">
        <v>0</v>
      </c>
      <c r="H193" s="353">
        <v>0</v>
      </c>
      <c r="I193" s="353">
        <f>+C193</f>
        <v>2104</v>
      </c>
      <c r="J193" s="234">
        <f t="shared" si="35"/>
        <v>2104</v>
      </c>
    </row>
    <row r="194" spans="1:17" s="29" customFormat="1" hidden="1">
      <c r="A194" s="142" t="s">
        <v>94</v>
      </c>
      <c r="B194" s="152"/>
      <c r="C194" s="342"/>
      <c r="D194" s="353"/>
      <c r="E194" s="353"/>
      <c r="F194" s="353"/>
      <c r="G194" s="353"/>
      <c r="H194" s="353"/>
      <c r="I194" s="353"/>
      <c r="J194" s="342">
        <f t="shared" si="35"/>
        <v>0</v>
      </c>
    </row>
    <row r="195" spans="1:17" s="29" customFormat="1" hidden="1">
      <c r="A195" s="142" t="s">
        <v>95</v>
      </c>
      <c r="B195" s="152"/>
      <c r="C195" s="342"/>
      <c r="D195" s="353"/>
      <c r="E195" s="353"/>
      <c r="F195" s="353"/>
      <c r="G195" s="353"/>
      <c r="H195" s="353"/>
      <c r="I195" s="353"/>
      <c r="J195" s="342">
        <f t="shared" si="35"/>
        <v>0</v>
      </c>
    </row>
    <row r="196" spans="1:17" s="29" customFormat="1">
      <c r="A196" s="142" t="s">
        <v>63</v>
      </c>
      <c r="B196" s="152"/>
      <c r="C196" s="342">
        <v>1311</v>
      </c>
      <c r="D196" s="355">
        <v>0</v>
      </c>
      <c r="E196" s="355">
        <v>0</v>
      </c>
      <c r="F196" s="355">
        <v>0</v>
      </c>
      <c r="G196" s="355">
        <v>0</v>
      </c>
      <c r="H196" s="355">
        <v>0</v>
      </c>
      <c r="I196" s="355">
        <v>1311</v>
      </c>
      <c r="J196" s="342">
        <f t="shared" si="35"/>
        <v>1311</v>
      </c>
    </row>
    <row r="197" spans="1:17" s="149" customFormat="1">
      <c r="A197" s="143" t="s">
        <v>64</v>
      </c>
      <c r="B197" s="144"/>
      <c r="C197" s="145">
        <f>C183-C193-C196+C195+C194-C192-C191+C187-C190</f>
        <v>4430</v>
      </c>
      <c r="D197" s="265">
        <f t="shared" ref="D197:I197" si="36">D188-D193-D192-D196+D195-D194-D191-D190</f>
        <v>0</v>
      </c>
      <c r="E197" s="265">
        <f t="shared" si="36"/>
        <v>5000.5200000000004</v>
      </c>
      <c r="F197" s="265">
        <f t="shared" si="36"/>
        <v>1559.0889999999999</v>
      </c>
      <c r="G197" s="265">
        <f t="shared" si="36"/>
        <v>3440.3910000000001</v>
      </c>
      <c r="H197" s="265">
        <f t="shared" si="36"/>
        <v>0</v>
      </c>
      <c r="I197" s="265">
        <f t="shared" si="36"/>
        <v>-5570</v>
      </c>
      <c r="J197" s="265">
        <f>SUM(D197:I197)</f>
        <v>4430</v>
      </c>
      <c r="K197" s="370"/>
      <c r="L197" s="370"/>
      <c r="M197" s="370"/>
      <c r="N197" s="370"/>
      <c r="O197" s="370"/>
      <c r="P197" s="370"/>
      <c r="Q197" s="370"/>
    </row>
    <row r="198" spans="1:17" s="29" customFormat="1" ht="15" thickBot="1">
      <c r="A198" s="770" t="s">
        <v>65</v>
      </c>
      <c r="B198" s="152"/>
      <c r="C198" s="402">
        <f t="shared" ref="C198:I198" si="37">SUM(C190:C197)</f>
        <v>10000</v>
      </c>
      <c r="D198" s="402">
        <f t="shared" si="37"/>
        <v>0</v>
      </c>
      <c r="E198" s="402">
        <f t="shared" si="37"/>
        <v>5000.5200000000004</v>
      </c>
      <c r="F198" s="402">
        <f t="shared" si="37"/>
        <v>1559.0889999999999</v>
      </c>
      <c r="G198" s="402">
        <f t="shared" si="37"/>
        <v>3440.3910000000001</v>
      </c>
      <c r="H198" s="402">
        <f t="shared" si="37"/>
        <v>0</v>
      </c>
      <c r="I198" s="402">
        <f t="shared" si="37"/>
        <v>0</v>
      </c>
      <c r="J198" s="402">
        <f>SUM(D198:I198)</f>
        <v>10000</v>
      </c>
    </row>
    <row r="199" spans="1:17" ht="16" thickTop="1">
      <c r="A199" s="25" t="s">
        <v>96</v>
      </c>
      <c r="B199" s="26"/>
      <c r="C199" s="289"/>
      <c r="D199" s="290" t="s">
        <v>0</v>
      </c>
      <c r="E199" s="290" t="s">
        <v>1</v>
      </c>
      <c r="F199" s="290" t="s">
        <v>2</v>
      </c>
      <c r="G199" s="290" t="s">
        <v>3</v>
      </c>
      <c r="H199" s="290" t="s">
        <v>4</v>
      </c>
      <c r="I199" s="290" t="s">
        <v>26</v>
      </c>
      <c r="J199" s="290" t="s">
        <v>5</v>
      </c>
      <c r="K199" s="370"/>
      <c r="L199" s="370"/>
      <c r="M199" s="370"/>
      <c r="N199" s="370"/>
      <c r="O199" s="370"/>
      <c r="P199" s="370"/>
      <c r="Q199" s="370"/>
    </row>
    <row r="200" spans="1:17">
      <c r="A200" s="349" t="s">
        <v>1002</v>
      </c>
      <c r="B200" s="350">
        <v>4000</v>
      </c>
      <c r="C200" s="350">
        <f>+B204</f>
        <v>4500</v>
      </c>
      <c r="D200" s="27"/>
      <c r="E200" s="27"/>
      <c r="F200" s="27"/>
      <c r="G200" s="27"/>
      <c r="H200" s="27"/>
      <c r="I200" s="27"/>
      <c r="J200" s="27"/>
      <c r="K200" s="370"/>
      <c r="L200" s="370"/>
      <c r="M200" s="370"/>
      <c r="N200" s="370"/>
      <c r="O200" s="370"/>
      <c r="P200" s="370"/>
      <c r="Q200" s="370"/>
    </row>
    <row r="201" spans="1:17" s="149" customFormat="1">
      <c r="A201" s="28" t="s">
        <v>1500</v>
      </c>
      <c r="B201" s="16">
        <v>0</v>
      </c>
      <c r="C201" s="350">
        <v>0</v>
      </c>
      <c r="D201" s="27"/>
      <c r="E201" s="27"/>
      <c r="F201" s="27"/>
      <c r="G201" s="27"/>
      <c r="H201" s="27"/>
      <c r="I201" s="27"/>
      <c r="J201" s="27"/>
      <c r="K201" s="370"/>
      <c r="L201" s="370"/>
      <c r="M201" s="370"/>
      <c r="N201" s="370"/>
    </row>
    <row r="202" spans="1:17">
      <c r="A202" s="28" t="s">
        <v>1501</v>
      </c>
      <c r="B202" s="350">
        <v>500</v>
      </c>
      <c r="C202" s="350">
        <v>-1500</v>
      </c>
      <c r="D202" s="27"/>
      <c r="E202" s="27"/>
      <c r="F202" s="27"/>
      <c r="G202" s="27"/>
      <c r="H202" s="27"/>
      <c r="I202" s="27"/>
      <c r="J202" s="27"/>
      <c r="K202" s="370"/>
      <c r="L202" s="370"/>
      <c r="M202" s="370"/>
      <c r="N202" s="370"/>
    </row>
    <row r="203" spans="1:17">
      <c r="A203" s="28" t="s">
        <v>1502</v>
      </c>
      <c r="B203" s="350">
        <v>0</v>
      </c>
      <c r="C203" s="350">
        <f>-C200*0</f>
        <v>0</v>
      </c>
      <c r="D203" s="27"/>
      <c r="E203" s="27"/>
      <c r="F203" s="27"/>
      <c r="G203" s="27"/>
      <c r="H203" s="27"/>
      <c r="I203" s="27"/>
      <c r="J203" s="27"/>
      <c r="K203" s="370"/>
      <c r="L203" s="370"/>
      <c r="M203" s="370"/>
      <c r="N203" s="370"/>
    </row>
    <row r="204" spans="1:17">
      <c r="A204" s="349" t="s">
        <v>1503</v>
      </c>
      <c r="B204" s="350">
        <f>SUM(B200:B203)</f>
        <v>4500</v>
      </c>
      <c r="C204" s="350">
        <f>SUM(C200:C203)</f>
        <v>3000</v>
      </c>
      <c r="D204" s="27"/>
      <c r="E204" s="27"/>
      <c r="F204" s="27"/>
      <c r="G204" s="27"/>
      <c r="H204" s="27"/>
      <c r="I204" s="27"/>
      <c r="J204" s="27"/>
      <c r="K204" s="370"/>
      <c r="L204" s="370"/>
      <c r="M204" s="370"/>
      <c r="N204" s="370"/>
    </row>
    <row r="205" spans="1:17">
      <c r="A205" s="349" t="s">
        <v>47</v>
      </c>
      <c r="B205" s="303">
        <f>B204</f>
        <v>4500</v>
      </c>
      <c r="C205" s="303">
        <f>C204</f>
        <v>3000</v>
      </c>
      <c r="D205" s="350">
        <v>0</v>
      </c>
      <c r="E205" s="303">
        <f>(+C205)</f>
        <v>3000</v>
      </c>
      <c r="F205" s="350">
        <v>0</v>
      </c>
      <c r="G205" s="350">
        <v>0</v>
      </c>
      <c r="H205" s="350">
        <v>0</v>
      </c>
      <c r="I205" s="350">
        <v>0</v>
      </c>
      <c r="J205" s="303">
        <f>SUM(D205:I205)</f>
        <v>3000</v>
      </c>
      <c r="K205" s="370"/>
      <c r="L205" s="370"/>
      <c r="M205" s="370"/>
      <c r="N205" s="370"/>
    </row>
    <row r="206" spans="1:17">
      <c r="A206" s="3" t="s">
        <v>48</v>
      </c>
      <c r="B206" s="303">
        <v>0</v>
      </c>
      <c r="C206" s="303">
        <f>C204-C205</f>
        <v>0</v>
      </c>
      <c r="D206" s="27"/>
      <c r="E206" s="27"/>
      <c r="F206" s="27"/>
      <c r="G206" s="27"/>
      <c r="H206" s="27"/>
      <c r="I206" s="27"/>
      <c r="J206" s="27"/>
      <c r="K206" s="370"/>
      <c r="L206" s="370"/>
      <c r="M206" s="370"/>
      <c r="N206" s="370"/>
    </row>
    <row r="207" spans="1:17">
      <c r="A207" s="349" t="s">
        <v>67</v>
      </c>
      <c r="B207" s="350"/>
      <c r="C207" s="350"/>
      <c r="D207" s="350">
        <v>0</v>
      </c>
      <c r="E207" s="303">
        <v>0</v>
      </c>
      <c r="F207" s="350">
        <v>0</v>
      </c>
      <c r="G207" s="350">
        <v>0</v>
      </c>
      <c r="H207" s="350">
        <v>0</v>
      </c>
      <c r="I207" s="350">
        <v>0</v>
      </c>
      <c r="J207" s="303">
        <f>SUM(D207:I207)</f>
        <v>0</v>
      </c>
      <c r="K207" s="370"/>
      <c r="L207" s="370"/>
      <c r="M207" s="370"/>
      <c r="N207" s="370"/>
    </row>
    <row r="208" spans="1:17" s="347" customFormat="1">
      <c r="A208" s="270" t="s">
        <v>56</v>
      </c>
      <c r="B208" s="350">
        <v>0</v>
      </c>
      <c r="C208" s="350">
        <f t="shared" ref="C208:J208" si="38">C112</f>
        <v>0</v>
      </c>
      <c r="D208" s="350">
        <f t="shared" si="38"/>
        <v>0</v>
      </c>
      <c r="E208" s="350">
        <f t="shared" si="38"/>
        <v>0</v>
      </c>
      <c r="F208" s="350">
        <f t="shared" si="38"/>
        <v>0</v>
      </c>
      <c r="G208" s="350">
        <f t="shared" si="38"/>
        <v>0</v>
      </c>
      <c r="H208" s="350">
        <f t="shared" si="38"/>
        <v>0</v>
      </c>
      <c r="I208" s="350">
        <f t="shared" si="38"/>
        <v>0</v>
      </c>
      <c r="J208" s="350">
        <f t="shared" si="38"/>
        <v>0</v>
      </c>
      <c r="K208" s="370"/>
      <c r="L208" s="370"/>
      <c r="M208" s="370"/>
      <c r="N208" s="223">
        <f>N206-N207</f>
        <v>0</v>
      </c>
    </row>
    <row r="209" spans="1:15">
      <c r="A209" s="349" t="s">
        <v>57</v>
      </c>
      <c r="B209" s="350"/>
      <c r="C209" s="350"/>
      <c r="D209" s="218">
        <f>D207+D205</f>
        <v>0</v>
      </c>
      <c r="E209" s="218">
        <f t="shared" ref="E209:J209" si="39">E207+E205</f>
        <v>3000</v>
      </c>
      <c r="F209" s="218">
        <f t="shared" si="39"/>
        <v>0</v>
      </c>
      <c r="G209" s="218">
        <f t="shared" si="39"/>
        <v>0</v>
      </c>
      <c r="H209" s="218">
        <f t="shared" si="39"/>
        <v>0</v>
      </c>
      <c r="I209" s="218">
        <f t="shared" si="39"/>
        <v>0</v>
      </c>
      <c r="J209" s="218">
        <f t="shared" si="39"/>
        <v>3000</v>
      </c>
      <c r="K209" s="370"/>
      <c r="L209" s="370"/>
      <c r="M209" s="370"/>
      <c r="N209" s="370"/>
    </row>
    <row r="210" spans="1:15">
      <c r="A210" s="142" t="s">
        <v>58</v>
      </c>
      <c r="B210" s="141"/>
      <c r="C210" s="141"/>
      <c r="D210" s="344">
        <v>0</v>
      </c>
      <c r="E210" s="344">
        <v>1</v>
      </c>
      <c r="F210" s="344">
        <v>0</v>
      </c>
      <c r="G210" s="344">
        <v>0</v>
      </c>
      <c r="H210" s="344">
        <v>0</v>
      </c>
      <c r="I210" s="344">
        <v>0</v>
      </c>
      <c r="J210" s="344">
        <f t="shared" ref="J210:J216" si="40">SUM(D210:I210)</f>
        <v>1</v>
      </c>
      <c r="K210" s="370"/>
      <c r="L210" s="370"/>
      <c r="M210" s="370"/>
      <c r="N210" s="370"/>
    </row>
    <row r="211" spans="1:15" s="370" customFormat="1" hidden="1">
      <c r="A211" s="142" t="s">
        <v>725</v>
      </c>
      <c r="B211" s="152"/>
      <c r="C211" s="342"/>
      <c r="D211" s="353"/>
      <c r="E211" s="353"/>
      <c r="F211" s="353"/>
      <c r="G211" s="353"/>
      <c r="H211" s="353"/>
      <c r="I211" s="353"/>
      <c r="J211" s="234">
        <f t="shared" si="40"/>
        <v>0</v>
      </c>
    </row>
    <row r="212" spans="1:15" s="370" customFormat="1">
      <c r="A212" s="142" t="s">
        <v>1496</v>
      </c>
      <c r="B212" s="152"/>
      <c r="C212" s="342">
        <f>172+246</f>
        <v>418</v>
      </c>
      <c r="D212" s="353">
        <v>0</v>
      </c>
      <c r="E212" s="353">
        <v>2135</v>
      </c>
      <c r="F212" s="353">
        <v>0</v>
      </c>
      <c r="G212" s="353">
        <v>0</v>
      </c>
      <c r="H212" s="353">
        <v>0</v>
      </c>
      <c r="I212" s="357">
        <f>+C212-E212</f>
        <v>-1717</v>
      </c>
      <c r="J212" s="234">
        <f t="shared" si="40"/>
        <v>418</v>
      </c>
    </row>
    <row r="213" spans="1:15" s="29" customFormat="1">
      <c r="A213" s="142" t="s">
        <v>59</v>
      </c>
      <c r="B213" s="152"/>
      <c r="C213" s="342">
        <f>430-0</f>
        <v>430</v>
      </c>
      <c r="D213" s="353">
        <v>0</v>
      </c>
      <c r="E213" s="353">
        <v>50</v>
      </c>
      <c r="F213" s="353">
        <v>0</v>
      </c>
      <c r="G213" s="353">
        <v>0</v>
      </c>
      <c r="H213" s="353">
        <v>0</v>
      </c>
      <c r="I213" s="357">
        <f>+C213-E213</f>
        <v>380</v>
      </c>
      <c r="J213" s="234">
        <f t="shared" si="40"/>
        <v>430</v>
      </c>
    </row>
    <row r="214" spans="1:15" s="29" customFormat="1">
      <c r="A214" s="142" t="s">
        <v>71</v>
      </c>
      <c r="B214" s="152"/>
      <c r="C214" s="342">
        <v>947</v>
      </c>
      <c r="D214" s="357">
        <v>0</v>
      </c>
      <c r="E214" s="357">
        <v>100</v>
      </c>
      <c r="F214" s="357">
        <v>0</v>
      </c>
      <c r="G214" s="357">
        <v>0</v>
      </c>
      <c r="H214" s="357">
        <v>0</v>
      </c>
      <c r="I214" s="357">
        <f>+C214-E214</f>
        <v>847</v>
      </c>
      <c r="J214" s="234">
        <f t="shared" si="40"/>
        <v>947</v>
      </c>
    </row>
    <row r="215" spans="1:15" s="29" customFormat="1">
      <c r="A215" s="142" t="s">
        <v>63</v>
      </c>
      <c r="B215" s="152"/>
      <c r="C215" s="342">
        <v>590</v>
      </c>
      <c r="D215" s="357">
        <v>0</v>
      </c>
      <c r="E215" s="357">
        <v>100</v>
      </c>
      <c r="F215" s="357">
        <v>0</v>
      </c>
      <c r="G215" s="357">
        <v>0</v>
      </c>
      <c r="H215" s="357">
        <v>0</v>
      </c>
      <c r="I215" s="357">
        <f>+C215-E215</f>
        <v>490</v>
      </c>
      <c r="J215" s="342">
        <f t="shared" si="40"/>
        <v>590</v>
      </c>
    </row>
    <row r="216" spans="1:15" s="149" customFormat="1">
      <c r="A216" s="143" t="s">
        <v>64</v>
      </c>
      <c r="B216" s="144"/>
      <c r="C216" s="145">
        <f>C204-C213-C215-C212+C208-C214-C211</f>
        <v>615</v>
      </c>
      <c r="D216" s="145">
        <f>D206-D213-D212-D215-D214-D211</f>
        <v>0</v>
      </c>
      <c r="E216" s="145">
        <f>E209-E213-E215-E212-E214-E211</f>
        <v>615</v>
      </c>
      <c r="F216" s="145">
        <f>F209-F213-F212-F215-F214-F211</f>
        <v>0</v>
      </c>
      <c r="G216" s="145">
        <f>G209-G213-G212-G215-G214-G211</f>
        <v>0</v>
      </c>
      <c r="H216" s="145">
        <f>H209-H213-H212-H215-H214-H211</f>
        <v>0</v>
      </c>
      <c r="I216" s="145">
        <f>I209-I213-I212-I215-I214-I211</f>
        <v>0</v>
      </c>
      <c r="J216" s="145">
        <f t="shared" si="40"/>
        <v>615</v>
      </c>
      <c r="K216" s="370"/>
      <c r="L216" s="370"/>
      <c r="M216" s="370"/>
      <c r="N216" s="370"/>
    </row>
    <row r="217" spans="1:15" s="29" customFormat="1" ht="15" thickBot="1">
      <c r="A217" s="770" t="s">
        <v>65</v>
      </c>
      <c r="B217" s="152"/>
      <c r="C217" s="77">
        <f t="shared" ref="C217:J217" si="41">SUM(C211:C216)</f>
        <v>3000</v>
      </c>
      <c r="D217" s="77">
        <f t="shared" si="41"/>
        <v>0</v>
      </c>
      <c r="E217" s="77">
        <f t="shared" si="41"/>
        <v>3000</v>
      </c>
      <c r="F217" s="77">
        <f t="shared" si="41"/>
        <v>0</v>
      </c>
      <c r="G217" s="77">
        <f t="shared" si="41"/>
        <v>0</v>
      </c>
      <c r="H217" s="77">
        <f t="shared" si="41"/>
        <v>0</v>
      </c>
      <c r="I217" s="77">
        <f t="shared" si="41"/>
        <v>0</v>
      </c>
      <c r="J217" s="77">
        <f t="shared" si="41"/>
        <v>3000</v>
      </c>
    </row>
    <row r="218" spans="1:15" ht="16" thickTop="1">
      <c r="A218" s="25" t="s">
        <v>97</v>
      </c>
      <c r="B218" s="26"/>
      <c r="C218" s="26"/>
      <c r="D218" s="221" t="s">
        <v>0</v>
      </c>
      <c r="E218" s="221" t="s">
        <v>1</v>
      </c>
      <c r="F218" s="221" t="s">
        <v>2</v>
      </c>
      <c r="G218" s="221" t="s">
        <v>3</v>
      </c>
      <c r="H218" s="221" t="s">
        <v>4</v>
      </c>
      <c r="I218" s="221" t="s">
        <v>26</v>
      </c>
      <c r="J218" s="221" t="s">
        <v>5</v>
      </c>
      <c r="K218" s="370"/>
      <c r="L218" s="370"/>
      <c r="M218" s="370"/>
      <c r="N218" s="370"/>
      <c r="O218" s="370"/>
    </row>
    <row r="219" spans="1:15">
      <c r="A219" s="349" t="s">
        <v>1506</v>
      </c>
      <c r="B219" s="350">
        <f>B200+B177+B157+B135+B106+B61+B78+B33+B3</f>
        <v>1763697</v>
      </c>
      <c r="C219" s="350">
        <f>C200+C177+C157+C135+C106+C78+C61+C33+C3</f>
        <v>1770386</v>
      </c>
      <c r="D219" s="27"/>
      <c r="E219" s="27"/>
      <c r="F219" s="27"/>
      <c r="G219" s="27"/>
      <c r="H219" s="27"/>
      <c r="I219" s="27"/>
      <c r="J219" s="27"/>
      <c r="K219" s="370"/>
      <c r="L219" s="370"/>
      <c r="M219" s="370"/>
      <c r="N219" s="370"/>
      <c r="O219" s="370"/>
    </row>
    <row r="220" spans="1:15">
      <c r="A220" s="28" t="s">
        <v>1500</v>
      </c>
      <c r="B220" s="350">
        <f>B79+B4</f>
        <v>19484</v>
      </c>
      <c r="C220" s="350">
        <f>C201+C178+C158+C136+C107+C79+C62+C34+C4</f>
        <v>29653</v>
      </c>
      <c r="D220" s="27"/>
      <c r="E220" s="27"/>
      <c r="F220" s="27"/>
      <c r="G220" s="27"/>
      <c r="H220" s="27"/>
      <c r="I220" s="27"/>
      <c r="J220" s="27"/>
      <c r="K220" s="370"/>
      <c r="L220" s="370"/>
      <c r="M220" s="370"/>
      <c r="N220" s="370"/>
      <c r="O220" s="370"/>
    </row>
    <row r="221" spans="1:15">
      <c r="A221" s="28" t="s">
        <v>1501</v>
      </c>
      <c r="B221" s="350">
        <f>B202+B179+B159+B137+B108+B80+B63+B35+B5</f>
        <v>-12795</v>
      </c>
      <c r="C221" s="350">
        <f>C202+C179+C159+C137+C108+C80+C63+C35+C5</f>
        <v>-73968</v>
      </c>
      <c r="D221" s="27"/>
      <c r="E221" s="27"/>
      <c r="F221" s="27"/>
      <c r="G221" s="27"/>
      <c r="H221" s="27"/>
      <c r="I221" s="27"/>
      <c r="J221" s="27"/>
      <c r="K221" s="370"/>
      <c r="L221" s="370"/>
      <c r="M221" s="370"/>
      <c r="N221" s="370"/>
      <c r="O221" s="370"/>
    </row>
    <row r="222" spans="1:15">
      <c r="A222" s="28" t="s">
        <v>1502</v>
      </c>
      <c r="B222" s="350">
        <f>B203+B180+B160+B81+B36+B6</f>
        <v>0</v>
      </c>
      <c r="C222" s="350">
        <f>C203+C180+C160+C138+C109+C81+C64+C36+C6</f>
        <v>0</v>
      </c>
      <c r="D222" s="27"/>
      <c r="E222" s="27"/>
      <c r="F222" s="27"/>
      <c r="G222" s="27"/>
      <c r="H222" s="27"/>
      <c r="I222" s="27"/>
      <c r="J222" s="27"/>
      <c r="K222" s="370"/>
      <c r="L222" s="370"/>
      <c r="M222" s="370"/>
      <c r="N222" s="370"/>
      <c r="O222" s="370"/>
    </row>
    <row r="223" spans="1:15" ht="14.15" customHeight="1">
      <c r="A223" s="28" t="s">
        <v>98</v>
      </c>
      <c r="B223" s="350"/>
      <c r="C223" s="350"/>
      <c r="D223" s="27"/>
      <c r="E223" s="27"/>
      <c r="F223" s="27"/>
      <c r="G223" s="27"/>
      <c r="H223" s="27"/>
      <c r="I223" s="27"/>
      <c r="J223" s="27"/>
      <c r="K223" s="370"/>
      <c r="L223" s="370"/>
      <c r="M223" s="370"/>
      <c r="N223" s="370"/>
      <c r="O223" s="370"/>
    </row>
    <row r="224" spans="1:15" ht="14.9" customHeight="1">
      <c r="A224" s="28" t="s">
        <v>99</v>
      </c>
      <c r="B224" s="350"/>
      <c r="C224" s="350">
        <v>0</v>
      </c>
      <c r="D224" s="27"/>
      <c r="E224" s="27"/>
      <c r="F224" s="27"/>
      <c r="G224" s="27"/>
      <c r="H224" s="27"/>
      <c r="I224" s="27"/>
      <c r="J224" s="27"/>
      <c r="K224" s="370"/>
      <c r="L224" s="370"/>
      <c r="M224" s="370"/>
      <c r="N224" s="370"/>
      <c r="O224" s="370"/>
    </row>
    <row r="225" spans="1:15">
      <c r="A225" s="349" t="s">
        <v>1503</v>
      </c>
      <c r="B225" s="350">
        <f>SUM(B219:B224)</f>
        <v>1770386</v>
      </c>
      <c r="C225" s="350">
        <f>SUM(C219:C224)</f>
        <v>1726071</v>
      </c>
      <c r="D225" s="27"/>
      <c r="E225" s="27"/>
      <c r="F225" s="27"/>
      <c r="G225" s="27"/>
      <c r="H225" s="27"/>
      <c r="I225" s="27"/>
      <c r="J225" s="27"/>
      <c r="K225" s="370"/>
      <c r="L225" s="370"/>
      <c r="M225" s="370"/>
      <c r="N225" s="223"/>
      <c r="O225" s="223"/>
    </row>
    <row r="226" spans="1:15">
      <c r="A226" s="349" t="s">
        <v>47</v>
      </c>
      <c r="B226" s="350">
        <f>B205+B182+B162+B140+B83+B38+B8</f>
        <v>98939.75</v>
      </c>
      <c r="C226" s="350">
        <f>C205+C182+C162+C140+C111+C83+C66+C38+C8</f>
        <v>114022.323</v>
      </c>
      <c r="D226" s="350">
        <f>D205+D182+D162+D111+D83+D38+D8</f>
        <v>31699.005614644037</v>
      </c>
      <c r="E226" s="350">
        <f>E205+E182+E162+E111+E83+E38+E8</f>
        <v>56996.975330027381</v>
      </c>
      <c r="F226" s="350">
        <f>F205+F182+F162+F111+F83+F38+F8</f>
        <v>764.15722565614192</v>
      </c>
      <c r="G226" s="350">
        <f>(G205+G182+G162+G111+G83+G38+G8)</f>
        <v>9008.184829672442</v>
      </c>
      <c r="H226" s="350">
        <f>H205+H182+H162+H111+H83+H38+H8</f>
        <v>9893</v>
      </c>
      <c r="I226" s="350">
        <f>I205+I182+I162+I140+I111+I83+I38+I8</f>
        <v>5661</v>
      </c>
      <c r="J226" s="350">
        <f>J205+J182+J162+J140+J111+J83+J38+J8</f>
        <v>114022.323</v>
      </c>
      <c r="K226" s="370"/>
      <c r="L226" s="370"/>
      <c r="M226" s="370"/>
      <c r="N226" s="223"/>
      <c r="O226" s="223"/>
    </row>
    <row r="227" spans="1:15">
      <c r="A227" s="3" t="s">
        <v>48</v>
      </c>
      <c r="B227" s="303">
        <f>+B225-B226</f>
        <v>1671446.25</v>
      </c>
      <c r="C227" s="350">
        <f>+C225-C226</f>
        <v>1612048.6769999999</v>
      </c>
      <c r="D227" s="27"/>
      <c r="E227" s="27"/>
      <c r="F227" s="27"/>
      <c r="G227" s="27"/>
      <c r="H227" s="27"/>
      <c r="I227" s="27"/>
      <c r="J227" s="27"/>
      <c r="K227" s="370"/>
      <c r="L227" s="370"/>
      <c r="M227" s="370"/>
      <c r="N227" s="370"/>
      <c r="O227" s="370"/>
    </row>
    <row r="228" spans="1:15" s="347" customFormat="1">
      <c r="A228" s="349" t="s">
        <v>51</v>
      </c>
      <c r="B228" s="350"/>
      <c r="C228" s="303">
        <f>SUM(D228:I228)</f>
        <v>29653</v>
      </c>
      <c r="D228" s="350">
        <f t="shared" ref="D228:J228" si="42">+D11+D86</f>
        <v>3509.5633726982305</v>
      </c>
      <c r="E228" s="350">
        <f t="shared" si="42"/>
        <v>17401.615061559998</v>
      </c>
      <c r="F228" s="350">
        <f t="shared" si="42"/>
        <v>3473.5319286406548</v>
      </c>
      <c r="G228" s="350">
        <f t="shared" si="42"/>
        <v>4957.7996338705625</v>
      </c>
      <c r="H228" s="350">
        <f t="shared" si="42"/>
        <v>310.49000323055384</v>
      </c>
      <c r="I228" s="350">
        <f t="shared" si="42"/>
        <v>0</v>
      </c>
      <c r="J228" s="350">
        <f t="shared" si="42"/>
        <v>29653.000000000004</v>
      </c>
      <c r="K228" s="370"/>
      <c r="L228" s="370"/>
      <c r="M228" s="370"/>
      <c r="N228" s="370"/>
      <c r="O228" s="370"/>
    </row>
    <row r="229" spans="1:15">
      <c r="A229" s="349" t="s">
        <v>67</v>
      </c>
      <c r="B229" s="350"/>
      <c r="C229" s="350">
        <f t="shared" ref="C229:J229" si="43">C207+C185+C165+C115+C89+C69+C42+C17</f>
        <v>1236729.977</v>
      </c>
      <c r="D229" s="350">
        <f t="shared" si="43"/>
        <v>124022.89819286458</v>
      </c>
      <c r="E229" s="350">
        <f t="shared" si="43"/>
        <v>401358.30514993664</v>
      </c>
      <c r="F229" s="350">
        <f t="shared" si="43"/>
        <v>72397.413382979488</v>
      </c>
      <c r="G229" s="350">
        <f t="shared" si="43"/>
        <v>95360.160274219306</v>
      </c>
      <c r="H229" s="350">
        <f t="shared" si="43"/>
        <v>5768</v>
      </c>
      <c r="I229" s="350">
        <f t="shared" si="43"/>
        <v>537823.19999999995</v>
      </c>
      <c r="J229" s="350">
        <f t="shared" si="43"/>
        <v>1236729.977</v>
      </c>
      <c r="K229" s="370"/>
      <c r="L229" s="257"/>
      <c r="M229" s="370"/>
      <c r="N229" s="370"/>
      <c r="O229" s="370"/>
    </row>
    <row r="230" spans="1:15">
      <c r="A230" s="349" t="s">
        <v>55</v>
      </c>
      <c r="B230" s="350"/>
      <c r="C230" s="350">
        <f t="shared" ref="C230:I230" si="44">C92+C19</f>
        <v>8713.9</v>
      </c>
      <c r="D230" s="350">
        <f t="shared" si="44"/>
        <v>-1825.2382</v>
      </c>
      <c r="E230" s="350">
        <f t="shared" si="44"/>
        <v>3656.2065000000002</v>
      </c>
      <c r="F230" s="350">
        <f t="shared" si="44"/>
        <v>-1278.7354</v>
      </c>
      <c r="G230" s="350">
        <f t="shared" si="44"/>
        <v>-1647.4551999999999</v>
      </c>
      <c r="H230" s="350">
        <f t="shared" si="44"/>
        <v>498.4</v>
      </c>
      <c r="I230" s="350">
        <f t="shared" si="44"/>
        <v>597</v>
      </c>
      <c r="J230" s="350"/>
      <c r="K230" s="370"/>
      <c r="L230" s="370"/>
      <c r="M230" s="370"/>
      <c r="N230" s="223"/>
      <c r="O230" s="370"/>
    </row>
    <row r="231" spans="1:15">
      <c r="A231" s="349" t="s">
        <v>100</v>
      </c>
      <c r="B231" s="350"/>
      <c r="C231" s="350">
        <f>C186+C184+C90+C87+C12+C13+C14+C15+C116+C117+C145+C146+C147+C148+C16+C88+C40</f>
        <v>345666</v>
      </c>
      <c r="D231" s="350">
        <f>D186+D184+D90+D87+D12+D13+D14+D15+D116+D117+D145+D146+D147+D148+D16+D88+D40</f>
        <v>42145</v>
      </c>
      <c r="E231" s="350">
        <f>E186+E184+E90+E87+E12+E13+E14+E15+E116+E117+E145+E146+E147+E148+E40</f>
        <v>74412</v>
      </c>
      <c r="F231" s="350">
        <f>F186+F184+F90+F87+F12+F13+F14+F15+F116+F117+F145+F146+F147+F148+F40</f>
        <v>22543</v>
      </c>
      <c r="G231" s="350">
        <f>G186+G184+G90+G87+G12+G13+G14+G15+G116+G117+G145+G146+G147+G148+G40</f>
        <v>22089</v>
      </c>
      <c r="H231" s="350">
        <f>H186+H184+H90+H87+H12+H13+H14+H15+H116+H117+H145+H146+H147+H148+H40</f>
        <v>3740</v>
      </c>
      <c r="I231" s="350">
        <f>I186+I184+I90+I87+I12+I13+I14+I15+I116+I117+I145+I146+I147+I148+I40</f>
        <v>180737</v>
      </c>
      <c r="J231" s="350">
        <f>J186+J184+J90+J87+J12+J13+J14+J15+J116+J117+J145+J146+J147+J148+J16+J88+J40</f>
        <v>345666</v>
      </c>
      <c r="K231" s="370"/>
      <c r="L231" s="370"/>
      <c r="M231" s="370"/>
      <c r="N231" s="223"/>
      <c r="O231" s="370"/>
    </row>
    <row r="232" spans="1:15" s="149" customFormat="1">
      <c r="A232" s="270" t="s">
        <v>56</v>
      </c>
      <c r="B232" s="350"/>
      <c r="C232" s="350">
        <f t="shared" ref="C232:J232" si="45">C20+C43+C93+C128+C187</f>
        <v>0</v>
      </c>
      <c r="D232" s="350">
        <f t="shared" si="45"/>
        <v>0</v>
      </c>
      <c r="E232" s="350">
        <f t="shared" si="45"/>
        <v>0</v>
      </c>
      <c r="F232" s="350">
        <f t="shared" si="45"/>
        <v>0</v>
      </c>
      <c r="G232" s="350">
        <f t="shared" si="45"/>
        <v>0</v>
      </c>
      <c r="H232" s="350">
        <f t="shared" si="45"/>
        <v>0</v>
      </c>
      <c r="I232" s="350">
        <f t="shared" si="45"/>
        <v>0</v>
      </c>
      <c r="J232" s="350">
        <f t="shared" si="45"/>
        <v>0</v>
      </c>
      <c r="K232" s="370"/>
      <c r="L232" s="370"/>
      <c r="M232" s="370"/>
      <c r="N232" s="223"/>
      <c r="O232" s="370"/>
    </row>
    <row r="233" spans="1:15">
      <c r="A233" s="349" t="s">
        <v>57</v>
      </c>
      <c r="B233" s="350"/>
      <c r="C233" s="350">
        <f>(C226+C228+C229+C231+C232)</f>
        <v>1726071.3</v>
      </c>
      <c r="D233" s="350">
        <f>(D226+D228+D229+D230+D231+D232)</f>
        <v>199551.22898020686</v>
      </c>
      <c r="E233" s="350">
        <f t="shared" ref="E233:I233" si="46">(E226+E228+E229+E230+E231+E232)</f>
        <v>553825.10204152402</v>
      </c>
      <c r="F233" s="350">
        <f t="shared" si="46"/>
        <v>97899.367137276276</v>
      </c>
      <c r="G233" s="350">
        <f t="shared" si="46"/>
        <v>129767.68953776232</v>
      </c>
      <c r="H233" s="350">
        <f t="shared" si="46"/>
        <v>20209.890003230554</v>
      </c>
      <c r="I233" s="350">
        <f t="shared" si="46"/>
        <v>724818.2</v>
      </c>
      <c r="J233" s="350">
        <f>(J226+J228+J229+J230+J231+J232)</f>
        <v>1726071.3</v>
      </c>
      <c r="K233" s="257">
        <f>SUM(D233:I233)</f>
        <v>1726071.4776999999</v>
      </c>
      <c r="L233" s="257">
        <f>+K233-J233</f>
        <v>0.17769999988377094</v>
      </c>
      <c r="M233" s="257">
        <f>+K233-C233</f>
        <v>0.17769999988377094</v>
      </c>
      <c r="N233" s="223"/>
      <c r="O233" s="370"/>
    </row>
    <row r="234" spans="1:15" s="370" customFormat="1">
      <c r="A234" s="154" t="s">
        <v>723</v>
      </c>
      <c r="B234" s="152"/>
      <c r="C234" s="77">
        <f>+C110+C139+C120+C121+C123+C124</f>
        <v>262600</v>
      </c>
      <c r="D234" s="463">
        <f t="shared" ref="D234:H234" si="47">+D133+D155</f>
        <v>24578</v>
      </c>
      <c r="E234" s="463">
        <f t="shared" si="47"/>
        <v>45881</v>
      </c>
      <c r="F234" s="463">
        <f t="shared" si="47"/>
        <v>16738</v>
      </c>
      <c r="G234" s="463">
        <f t="shared" si="47"/>
        <v>15821</v>
      </c>
      <c r="H234" s="463">
        <f t="shared" si="47"/>
        <v>3304</v>
      </c>
      <c r="I234" s="463">
        <f>+I133+I155</f>
        <v>156278</v>
      </c>
      <c r="J234" s="463">
        <f>+J133+J155</f>
        <v>262600</v>
      </c>
      <c r="K234" s="465"/>
      <c r="L234" s="464"/>
      <c r="N234" s="223"/>
    </row>
    <row r="235" spans="1:15" s="29" customFormat="1">
      <c r="A235" s="154" t="s">
        <v>1623</v>
      </c>
      <c r="B235" s="152"/>
      <c r="C235" s="285">
        <v>0</v>
      </c>
      <c r="D235" s="463">
        <f>+D46</f>
        <v>0</v>
      </c>
      <c r="E235" s="463">
        <f t="shared" ref="E235:I235" si="48">+E46</f>
        <v>0</v>
      </c>
      <c r="F235" s="463">
        <f t="shared" si="48"/>
        <v>0</v>
      </c>
      <c r="G235" s="463">
        <f t="shared" si="48"/>
        <v>5000</v>
      </c>
      <c r="H235" s="463">
        <f t="shared" si="48"/>
        <v>0</v>
      </c>
      <c r="I235" s="463">
        <f t="shared" si="48"/>
        <v>-5000</v>
      </c>
      <c r="J235" s="234">
        <f>+J46</f>
        <v>0</v>
      </c>
      <c r="K235" s="222"/>
    </row>
    <row r="236" spans="1:15" s="370" customFormat="1">
      <c r="A236" s="154" t="s">
        <v>1620</v>
      </c>
      <c r="B236" s="152"/>
      <c r="C236" s="285">
        <f t="shared" ref="C236:J236" si="49">+C23</f>
        <v>77500</v>
      </c>
      <c r="D236" s="463">
        <f t="shared" si="49"/>
        <v>0</v>
      </c>
      <c r="E236" s="463">
        <f t="shared" si="49"/>
        <v>75000</v>
      </c>
      <c r="F236" s="463">
        <f t="shared" si="49"/>
        <v>0</v>
      </c>
      <c r="G236" s="463">
        <f t="shared" si="49"/>
        <v>0</v>
      </c>
      <c r="H236" s="463">
        <f t="shared" si="49"/>
        <v>2500</v>
      </c>
      <c r="I236" s="463">
        <f t="shared" si="49"/>
        <v>0</v>
      </c>
      <c r="J236" s="234">
        <f t="shared" si="49"/>
        <v>77500</v>
      </c>
      <c r="K236" s="465"/>
      <c r="L236" s="464"/>
      <c r="N236" s="223"/>
    </row>
    <row r="237" spans="1:15" s="370" customFormat="1">
      <c r="A237" s="154" t="s">
        <v>1496</v>
      </c>
      <c r="B237" s="152"/>
      <c r="C237" s="285">
        <f t="shared" ref="C237:J237" si="50">+C24+C48+C71+C97+C170+C191+C212</f>
        <v>158451</v>
      </c>
      <c r="D237" s="463">
        <f t="shared" si="50"/>
        <v>22500</v>
      </c>
      <c r="E237" s="463">
        <f t="shared" si="50"/>
        <v>67135</v>
      </c>
      <c r="F237" s="463">
        <f t="shared" si="50"/>
        <v>12000</v>
      </c>
      <c r="G237" s="463">
        <f t="shared" si="50"/>
        <v>12000</v>
      </c>
      <c r="H237" s="463">
        <f t="shared" si="50"/>
        <v>2565</v>
      </c>
      <c r="I237" s="463">
        <f t="shared" si="50"/>
        <v>42251</v>
      </c>
      <c r="J237" s="234">
        <f t="shared" si="50"/>
        <v>158451</v>
      </c>
      <c r="K237" s="465">
        <f>+J237-C237</f>
        <v>0</v>
      </c>
      <c r="L237" s="464"/>
      <c r="N237" s="223"/>
    </row>
    <row r="238" spans="1:15" s="370" customFormat="1">
      <c r="A238" s="154" t="s">
        <v>59</v>
      </c>
      <c r="B238" s="152"/>
      <c r="C238" s="285">
        <f t="shared" ref="C238:J239" si="51">C213+C192+C171+C98+C72+C52+C25</f>
        <v>95961</v>
      </c>
      <c r="D238" s="463">
        <f t="shared" si="51"/>
        <v>15358</v>
      </c>
      <c r="E238" s="463">
        <f t="shared" si="51"/>
        <v>44050</v>
      </c>
      <c r="F238" s="463">
        <f t="shared" si="51"/>
        <v>9900</v>
      </c>
      <c r="G238" s="463">
        <f t="shared" si="51"/>
        <v>10900</v>
      </c>
      <c r="H238" s="463">
        <f t="shared" si="51"/>
        <v>1492</v>
      </c>
      <c r="I238" s="463">
        <f t="shared" si="51"/>
        <v>14261</v>
      </c>
      <c r="J238" s="234">
        <f t="shared" si="51"/>
        <v>95961</v>
      </c>
      <c r="K238" s="465">
        <f>+J238-C238</f>
        <v>0</v>
      </c>
      <c r="L238" s="464"/>
      <c r="N238" s="223"/>
    </row>
    <row r="239" spans="1:15" s="29" customFormat="1">
      <c r="A239" s="154" t="s">
        <v>71</v>
      </c>
      <c r="B239" s="152"/>
      <c r="C239" s="285">
        <f t="shared" si="51"/>
        <v>211197</v>
      </c>
      <c r="D239" s="463">
        <f t="shared" si="51"/>
        <v>32747</v>
      </c>
      <c r="E239" s="463">
        <f t="shared" si="51"/>
        <v>48657</v>
      </c>
      <c r="F239" s="463">
        <f t="shared" si="51"/>
        <v>12924</v>
      </c>
      <c r="G239" s="463">
        <f t="shared" si="51"/>
        <v>14830</v>
      </c>
      <c r="H239" s="463">
        <f t="shared" si="51"/>
        <v>3100</v>
      </c>
      <c r="I239" s="463">
        <f t="shared" si="51"/>
        <v>98939</v>
      </c>
      <c r="J239" s="234">
        <f t="shared" si="51"/>
        <v>211197</v>
      </c>
      <c r="K239" s="222"/>
    </row>
    <row r="240" spans="1:15" s="29" customFormat="1" hidden="1">
      <c r="A240" s="154" t="s">
        <v>101</v>
      </c>
      <c r="B240" s="152"/>
      <c r="C240" s="285">
        <v>0</v>
      </c>
      <c r="D240" s="234">
        <v>0</v>
      </c>
      <c r="E240" s="234">
        <v>0</v>
      </c>
      <c r="F240" s="234">
        <v>0</v>
      </c>
      <c r="G240" s="234">
        <v>0</v>
      </c>
      <c r="H240" s="234">
        <v>0</v>
      </c>
      <c r="I240" s="234">
        <v>0</v>
      </c>
      <c r="J240" s="234">
        <v>0</v>
      </c>
      <c r="K240" s="222"/>
    </row>
    <row r="241" spans="1:14" s="29" customFormat="1">
      <c r="A241" s="154" t="s">
        <v>63</v>
      </c>
      <c r="B241" s="152"/>
      <c r="C241" s="285">
        <f>C215+C196+C173+C102+C74+C56+C57+C29</f>
        <v>131596</v>
      </c>
      <c r="D241" s="463">
        <f t="shared" ref="D241:J241" si="52">D215+D196+D195+D173+D102+D101+D74+D57+D56+D55+D29+D28</f>
        <v>9900</v>
      </c>
      <c r="E241" s="463">
        <f t="shared" si="52"/>
        <v>48900</v>
      </c>
      <c r="F241" s="463">
        <f t="shared" si="52"/>
        <v>10700</v>
      </c>
      <c r="G241" s="463">
        <f t="shared" si="52"/>
        <v>10830</v>
      </c>
      <c r="H241" s="463">
        <f t="shared" si="52"/>
        <v>2160</v>
      </c>
      <c r="I241" s="463">
        <f t="shared" si="52"/>
        <v>49106</v>
      </c>
      <c r="J241" s="234">
        <f t="shared" si="52"/>
        <v>131596</v>
      </c>
      <c r="K241" s="222">
        <f>+J241-C241</f>
        <v>0</v>
      </c>
    </row>
    <row r="242" spans="1:14" s="149" customFormat="1">
      <c r="A242" s="143" t="s">
        <v>64</v>
      </c>
      <c r="B242" s="145"/>
      <c r="C242" s="145">
        <f>C225-C238-C237-C236-C239-C235-C240-C241-C223-C224+C232-C234</f>
        <v>788766</v>
      </c>
      <c r="D242" s="265">
        <f>D216+D197+D174+D103+D75+D58+D47+D30-D131</f>
        <v>94468.228980206841</v>
      </c>
      <c r="E242" s="265">
        <f>E216+E197+E174+E103+E75+E58+E47+E30-E131</f>
        <v>224202.10204152399</v>
      </c>
      <c r="F242" s="265">
        <f>F216+F197+F174+F103+F75+F58+F47+F30-F131</f>
        <v>35637.367137276276</v>
      </c>
      <c r="G242" s="265">
        <f>G216+G197+G174+G103+G75+G58+G47+G30-G131</f>
        <v>65386.689537762315</v>
      </c>
      <c r="H242" s="265">
        <f>H216+H197+H174+H103+H75+H58+H47+H30-H131</f>
        <v>7603.8900032305537</v>
      </c>
      <c r="I242" s="265">
        <f>I216+I197+I174+I103+I75+I58+I47+I30-I131-I132</f>
        <v>361468.2</v>
      </c>
      <c r="J242" s="265">
        <f>J216+J197+J174+J103+J75+J58+J47+J30-J131-J132</f>
        <v>788766.47770000005</v>
      </c>
      <c r="K242" s="257">
        <f>+J242-C242</f>
        <v>0.47770000004675239</v>
      </c>
      <c r="L242" s="370"/>
      <c r="M242" s="370"/>
      <c r="N242" s="370"/>
    </row>
    <row r="243" spans="1:14" s="29" customFormat="1">
      <c r="A243" s="151" t="s">
        <v>65</v>
      </c>
      <c r="B243" s="152"/>
      <c r="C243" s="77">
        <f>SUM(C234:C242)</f>
        <v>1726071</v>
      </c>
      <c r="D243" s="77">
        <f>SUM(D234:D242)</f>
        <v>199551.22898020683</v>
      </c>
      <c r="E243" s="77">
        <f t="shared" ref="E243:J243" si="53">SUM(E234:E242)</f>
        <v>553825.10204152402</v>
      </c>
      <c r="F243" s="77">
        <f t="shared" si="53"/>
        <v>97899.367137276276</v>
      </c>
      <c r="G243" s="77">
        <f t="shared" si="53"/>
        <v>134767.68953776232</v>
      </c>
      <c r="H243" s="77">
        <f t="shared" si="53"/>
        <v>22724.890003230554</v>
      </c>
      <c r="I243" s="77">
        <f t="shared" si="53"/>
        <v>717303.2</v>
      </c>
      <c r="J243" s="77">
        <f t="shared" si="53"/>
        <v>1726071.4777000002</v>
      </c>
      <c r="K243" s="222">
        <f>+J243-C243</f>
        <v>0.47770000016316772</v>
      </c>
      <c r="L243" s="222">
        <f>+J243-J233</f>
        <v>0.17770000011660159</v>
      </c>
    </row>
    <row r="244" spans="1:14">
      <c r="A244" s="370"/>
      <c r="B244" s="122"/>
      <c r="C244" s="122">
        <f>+C233-C234-C237-C236-C238-C239-C241-C242</f>
        <v>0.30000000004656613</v>
      </c>
      <c r="D244" s="122">
        <f>+D235</f>
        <v>0</v>
      </c>
      <c r="E244" s="122">
        <f>+E235</f>
        <v>0</v>
      </c>
      <c r="F244" s="122">
        <f>+F235</f>
        <v>0</v>
      </c>
      <c r="G244" s="122">
        <f>+G235</f>
        <v>5000</v>
      </c>
      <c r="H244" s="122">
        <f>-(+H233-H234-H237-H236-H238-H239-H241-H242)</f>
        <v>2515</v>
      </c>
      <c r="I244" s="122"/>
      <c r="J244" s="122">
        <f>SUM(D244:I244)</f>
        <v>7515</v>
      </c>
      <c r="K244" s="370" t="s">
        <v>1624</v>
      </c>
      <c r="L244" s="370"/>
      <c r="M244" s="370"/>
      <c r="N244" s="370"/>
    </row>
    <row r="245" spans="1:14" s="370" customFormat="1">
      <c r="B245" s="122"/>
      <c r="C245" s="122">
        <f t="shared" ref="C245:I245" si="54">+C31+C59+C76+C104+C133+C155+C175+C198+C217</f>
        <v>1726071.3</v>
      </c>
      <c r="D245" s="122">
        <f t="shared" si="54"/>
        <v>199551.22898020683</v>
      </c>
      <c r="E245" s="122">
        <f t="shared" si="54"/>
        <v>553825.10204152402</v>
      </c>
      <c r="F245" s="122">
        <f t="shared" si="54"/>
        <v>97899.367137276276</v>
      </c>
      <c r="G245" s="122">
        <f t="shared" si="54"/>
        <v>134767.68953776232</v>
      </c>
      <c r="H245" s="122">
        <f t="shared" si="54"/>
        <v>22724.890003230554</v>
      </c>
      <c r="I245" s="122">
        <f t="shared" si="54"/>
        <v>717303.20000000007</v>
      </c>
      <c r="J245" s="122">
        <f>SUM(D245:I245)</f>
        <v>1726071.4777000002</v>
      </c>
    </row>
    <row r="246" spans="1:14" s="370" customFormat="1">
      <c r="B246" s="122"/>
      <c r="C246" s="122">
        <f>+C243-C245</f>
        <v>-0.30000000004656613</v>
      </c>
      <c r="D246" s="122">
        <f t="shared" ref="D246:I246" si="55">+D243-D245</f>
        <v>0</v>
      </c>
      <c r="E246" s="122">
        <f t="shared" si="55"/>
        <v>0</v>
      </c>
      <c r="F246" s="122">
        <f t="shared" si="55"/>
        <v>0</v>
      </c>
      <c r="G246" s="122">
        <f t="shared" si="55"/>
        <v>0</v>
      </c>
      <c r="H246" s="122">
        <f t="shared" si="55"/>
        <v>0</v>
      </c>
      <c r="I246" s="122">
        <f t="shared" si="55"/>
        <v>0</v>
      </c>
      <c r="J246" s="122">
        <f>SUM(D246:I246)</f>
        <v>0</v>
      </c>
      <c r="K246" s="370" t="s">
        <v>80</v>
      </c>
    </row>
    <row r="247" spans="1:14" s="370" customFormat="1">
      <c r="B247" s="122"/>
      <c r="C247" s="122"/>
      <c r="D247" s="122"/>
      <c r="E247" s="122"/>
      <c r="F247" s="122"/>
      <c r="G247" s="122"/>
      <c r="H247" s="122"/>
      <c r="I247" s="122"/>
      <c r="J247" s="122"/>
    </row>
    <row r="248" spans="1:14" s="370" customFormat="1">
      <c r="B248" s="122"/>
      <c r="C248" s="122"/>
      <c r="D248" s="122"/>
      <c r="E248" s="122"/>
      <c r="F248" s="122"/>
      <c r="G248" s="122"/>
      <c r="H248" s="122"/>
      <c r="I248" s="122"/>
      <c r="J248" s="122"/>
    </row>
    <row r="249" spans="1:14">
      <c r="A249" s="370" t="s">
        <v>1625</v>
      </c>
      <c r="B249" s="283"/>
      <c r="C249" s="282">
        <f>+(C225)-C234</f>
        <v>1463471</v>
      </c>
      <c r="D249" s="18">
        <f t="shared" ref="D249:J249" si="56">D209+D188+D167+D129+D94+D69+D44+D46+D21</f>
        <v>174973.22898020683</v>
      </c>
      <c r="E249" s="18">
        <f t="shared" si="56"/>
        <v>507944.10204152402</v>
      </c>
      <c r="F249" s="18">
        <f t="shared" si="56"/>
        <v>81161.367137276276</v>
      </c>
      <c r="G249" s="18">
        <f t="shared" si="56"/>
        <v>118946.68953776232</v>
      </c>
      <c r="H249" s="18">
        <f t="shared" si="56"/>
        <v>16905.890003230554</v>
      </c>
      <c r="I249" s="18">
        <f t="shared" si="56"/>
        <v>563540.20000000007</v>
      </c>
      <c r="J249" s="18">
        <f t="shared" si="56"/>
        <v>1463471.4777000002</v>
      </c>
      <c r="K249" s="257">
        <f>+J243</f>
        <v>1726071.4777000002</v>
      </c>
      <c r="L249" s="257">
        <f>-C249+K249</f>
        <v>262600.47770000016</v>
      </c>
      <c r="M249" s="370" t="s">
        <v>996</v>
      </c>
      <c r="N249" s="370"/>
    </row>
    <row r="250" spans="1:14">
      <c r="A250" s="370"/>
      <c r="B250" s="283"/>
      <c r="C250" s="257">
        <v>1463471</v>
      </c>
      <c r="D250" s="122">
        <v>174973</v>
      </c>
      <c r="E250" s="122">
        <v>507944</v>
      </c>
      <c r="F250" s="122">
        <v>81161</v>
      </c>
      <c r="G250" s="122">
        <v>118947</v>
      </c>
      <c r="H250" s="122">
        <v>16906</v>
      </c>
      <c r="I250" s="122">
        <v>563540</v>
      </c>
      <c r="J250" s="122">
        <v>1463471</v>
      </c>
      <c r="K250" s="370"/>
      <c r="L250" s="370"/>
      <c r="M250" s="370"/>
      <c r="N250" s="370"/>
    </row>
    <row r="251" spans="1:14">
      <c r="A251" s="370"/>
      <c r="B251" s="370"/>
      <c r="C251" s="284">
        <f>+C249-C250</f>
        <v>0</v>
      </c>
      <c r="D251" s="284">
        <f t="shared" ref="D251:J251" si="57">+D249-D250</f>
        <v>0.2289802068262361</v>
      </c>
      <c r="E251" s="284">
        <f t="shared" si="57"/>
        <v>0.10204152402002364</v>
      </c>
      <c r="F251" s="284">
        <f t="shared" si="57"/>
        <v>0.36713727627648041</v>
      </c>
      <c r="G251" s="284">
        <f t="shared" si="57"/>
        <v>-0.31046223768498749</v>
      </c>
      <c r="H251" s="284">
        <f t="shared" si="57"/>
        <v>-0.10999676944629755</v>
      </c>
      <c r="I251" s="284">
        <f t="shared" si="57"/>
        <v>0.20000000006984919</v>
      </c>
      <c r="J251" s="284">
        <f t="shared" si="57"/>
        <v>0.47770000016316772</v>
      </c>
      <c r="K251" s="370"/>
      <c r="L251" s="370"/>
      <c r="M251" s="370"/>
      <c r="N251" s="370"/>
    </row>
    <row r="252" spans="1:14">
      <c r="A252" s="370"/>
      <c r="B252" s="370"/>
      <c r="C252" s="257"/>
      <c r="D252" s="370"/>
      <c r="E252" s="370"/>
      <c r="F252" s="370"/>
      <c r="G252" s="370"/>
      <c r="H252" s="370"/>
      <c r="I252" s="370"/>
      <c r="J252" s="370"/>
      <c r="K252" s="370"/>
      <c r="L252" s="370"/>
      <c r="M252" s="370"/>
      <c r="N252" s="370"/>
    </row>
    <row r="253" spans="1:14" ht="15.65" customHeight="1">
      <c r="A253" s="283" t="s">
        <v>103</v>
      </c>
      <c r="B253" s="283" t="s">
        <v>104</v>
      </c>
      <c r="C253" s="257">
        <v>87022</v>
      </c>
      <c r="D253" s="257"/>
      <c r="E253" s="257"/>
      <c r="F253" s="257"/>
      <c r="G253" s="257"/>
      <c r="H253" s="257"/>
      <c r="I253" s="257">
        <v>87022</v>
      </c>
      <c r="J253" s="257">
        <f t="shared" ref="J253:J289" si="58">SUM(D253:I253)</f>
        <v>87022</v>
      </c>
      <c r="K253" s="370"/>
      <c r="L253" s="370"/>
      <c r="M253" s="370"/>
      <c r="N253" s="370"/>
    </row>
    <row r="254" spans="1:14">
      <c r="A254" s="370"/>
      <c r="B254" s="283" t="s">
        <v>105</v>
      </c>
      <c r="C254" s="281">
        <v>0</v>
      </c>
      <c r="D254" s="281">
        <v>6100</v>
      </c>
      <c r="E254" s="281">
        <v>41100</v>
      </c>
      <c r="F254" s="281">
        <v>8050</v>
      </c>
      <c r="G254" s="281">
        <v>8050</v>
      </c>
      <c r="H254" s="281">
        <v>1650</v>
      </c>
      <c r="I254" s="281">
        <f>-SUM(D254:H254)</f>
        <v>-64950</v>
      </c>
      <c r="J254" s="281">
        <f t="shared" si="58"/>
        <v>0</v>
      </c>
      <c r="K254" s="370"/>
      <c r="L254" s="370"/>
      <c r="M254" s="370"/>
      <c r="N254" s="370"/>
    </row>
    <row r="255" spans="1:14" s="370" customFormat="1">
      <c r="B255" s="283" t="s">
        <v>84</v>
      </c>
      <c r="C255" s="281">
        <v>262600</v>
      </c>
      <c r="D255" s="281"/>
      <c r="E255" s="281"/>
      <c r="F255" s="281"/>
      <c r="G255" s="281"/>
      <c r="H255" s="281"/>
      <c r="I255" s="281">
        <v>262600</v>
      </c>
      <c r="J255" s="281">
        <f t="shared" si="58"/>
        <v>262600</v>
      </c>
    </row>
    <row r="256" spans="1:14" s="370" customFormat="1">
      <c r="B256" s="283" t="s">
        <v>1394</v>
      </c>
      <c r="C256" s="281">
        <v>56242</v>
      </c>
      <c r="D256" s="281"/>
      <c r="E256" s="281"/>
      <c r="F256" s="281"/>
      <c r="G256" s="281"/>
      <c r="H256" s="281"/>
      <c r="I256" s="281">
        <v>56242</v>
      </c>
      <c r="J256" s="281">
        <f t="shared" ref="J256" si="59">SUM(D256:I256)</f>
        <v>56242</v>
      </c>
    </row>
    <row r="257" spans="2:11" s="370" customFormat="1">
      <c r="B257" s="283" t="s">
        <v>1397</v>
      </c>
      <c r="C257" s="281">
        <v>0</v>
      </c>
      <c r="D257" s="281"/>
      <c r="E257" s="281"/>
      <c r="F257" s="281"/>
      <c r="G257" s="281">
        <v>13000</v>
      </c>
      <c r="H257" s="281"/>
      <c r="I257" s="281">
        <v>-13000</v>
      </c>
      <c r="J257" s="281">
        <f t="shared" ref="J257:J258" si="60">SUM(D257:I257)</f>
        <v>0</v>
      </c>
    </row>
    <row r="258" spans="2:11" s="370" customFormat="1">
      <c r="B258" s="283" t="s">
        <v>1412</v>
      </c>
      <c r="C258" s="281">
        <v>0</v>
      </c>
      <c r="D258" s="281"/>
      <c r="E258" s="281">
        <v>1400</v>
      </c>
      <c r="F258" s="281">
        <v>325</v>
      </c>
      <c r="G258" s="281"/>
      <c r="H258" s="281"/>
      <c r="I258" s="281">
        <v>-1725</v>
      </c>
      <c r="J258" s="281">
        <f t="shared" si="60"/>
        <v>0</v>
      </c>
    </row>
    <row r="259" spans="2:11" s="370" customFormat="1">
      <c r="B259" s="283" t="s">
        <v>1411</v>
      </c>
      <c r="C259" s="281">
        <v>0</v>
      </c>
      <c r="D259" s="281">
        <v>3800</v>
      </c>
      <c r="E259" s="281">
        <v>6400</v>
      </c>
      <c r="F259" s="281">
        <v>2325</v>
      </c>
      <c r="G259" s="281">
        <v>2780</v>
      </c>
      <c r="H259" s="281">
        <v>510</v>
      </c>
      <c r="I259" s="281">
        <v>-15815</v>
      </c>
      <c r="J259" s="281">
        <f t="shared" si="58"/>
        <v>0</v>
      </c>
    </row>
    <row r="260" spans="2:11" s="370" customFormat="1">
      <c r="B260" s="283" t="s">
        <v>1477</v>
      </c>
      <c r="C260" s="281">
        <f>139661+90261</f>
        <v>229922</v>
      </c>
      <c r="D260" s="281"/>
      <c r="E260" s="281"/>
      <c r="F260" s="281"/>
      <c r="G260" s="281"/>
      <c r="H260" s="281"/>
      <c r="I260" s="281">
        <v>229922</v>
      </c>
      <c r="J260" s="281">
        <f t="shared" si="58"/>
        <v>229922</v>
      </c>
    </row>
    <row r="261" spans="2:11" s="370" customFormat="1">
      <c r="B261" s="283" t="s">
        <v>1418</v>
      </c>
      <c r="C261" s="281">
        <v>0</v>
      </c>
      <c r="D261" s="281">
        <v>30268</v>
      </c>
      <c r="E261" s="281">
        <v>47100</v>
      </c>
      <c r="F261" s="281">
        <v>12000</v>
      </c>
      <c r="G261" s="281">
        <v>14000</v>
      </c>
      <c r="H261" s="281">
        <v>3100</v>
      </c>
      <c r="I261" s="281">
        <v>-106468</v>
      </c>
      <c r="J261" s="281">
        <f t="shared" si="58"/>
        <v>0</v>
      </c>
    </row>
    <row r="262" spans="2:11" s="370" customFormat="1">
      <c r="B262" s="283" t="s">
        <v>1428</v>
      </c>
      <c r="C262" s="281">
        <v>0</v>
      </c>
      <c r="D262" s="281">
        <v>2479</v>
      </c>
      <c r="E262" s="281">
        <v>1557</v>
      </c>
      <c r="F262" s="281">
        <v>924</v>
      </c>
      <c r="G262" s="281">
        <v>830</v>
      </c>
      <c r="H262" s="281"/>
      <c r="I262" s="281">
        <v>-5790</v>
      </c>
      <c r="J262" s="281">
        <f t="shared" si="58"/>
        <v>0</v>
      </c>
    </row>
    <row r="263" spans="2:11" s="370" customFormat="1">
      <c r="B263" s="283" t="s">
        <v>1429</v>
      </c>
      <c r="C263" s="281">
        <v>0</v>
      </c>
      <c r="D263" s="281"/>
      <c r="E263" s="281"/>
      <c r="F263" s="281"/>
      <c r="G263" s="281">
        <v>3000</v>
      </c>
      <c r="H263" s="281"/>
      <c r="I263" s="281">
        <v>-3000</v>
      </c>
      <c r="J263" s="281">
        <f t="shared" si="58"/>
        <v>0</v>
      </c>
    </row>
    <row r="264" spans="2:11" s="370" customFormat="1">
      <c r="B264" s="283" t="s">
        <v>1435</v>
      </c>
      <c r="C264" s="281">
        <v>0</v>
      </c>
      <c r="D264" s="281">
        <v>24297</v>
      </c>
      <c r="E264" s="281">
        <v>45727</v>
      </c>
      <c r="F264" s="281">
        <v>16174</v>
      </c>
      <c r="G264" s="281">
        <v>15821</v>
      </c>
      <c r="H264" s="281"/>
      <c r="I264" s="281">
        <f>-SUM(D264:H264)</f>
        <v>-102019</v>
      </c>
      <c r="J264" s="281">
        <f t="shared" si="58"/>
        <v>0</v>
      </c>
    </row>
    <row r="265" spans="2:11" s="370" customFormat="1">
      <c r="B265" s="283" t="s">
        <v>1429</v>
      </c>
      <c r="C265" s="519">
        <v>0</v>
      </c>
      <c r="D265" s="519">
        <v>6000</v>
      </c>
      <c r="E265" s="519"/>
      <c r="F265" s="519"/>
      <c r="G265" s="519"/>
      <c r="H265" s="519"/>
      <c r="I265" s="519">
        <v>-6000</v>
      </c>
      <c r="J265" s="281">
        <f t="shared" ref="J265:J271" si="61">SUM(D265:I265)</f>
        <v>0</v>
      </c>
    </row>
    <row r="266" spans="2:11" s="370" customFormat="1">
      <c r="B266" s="283" t="s">
        <v>1439</v>
      </c>
      <c r="C266" s="519">
        <f>63458+41012+143</f>
        <v>104613</v>
      </c>
      <c r="D266" s="519"/>
      <c r="E266" s="519"/>
      <c r="F266" s="519"/>
      <c r="G266" s="519"/>
      <c r="H266" s="519"/>
      <c r="I266" s="519">
        <v>104613</v>
      </c>
      <c r="J266" s="281">
        <f t="shared" ref="J266" si="62">SUM(D266:I266)</f>
        <v>104613</v>
      </c>
    </row>
    <row r="267" spans="2:11" s="370" customFormat="1">
      <c r="B267" s="283" t="s">
        <v>1440</v>
      </c>
      <c r="C267" s="281">
        <v>0</v>
      </c>
      <c r="D267" s="281">
        <v>15358</v>
      </c>
      <c r="E267" s="281">
        <v>44050</v>
      </c>
      <c r="F267" s="281">
        <v>9900</v>
      </c>
      <c r="G267" s="281">
        <v>10900</v>
      </c>
      <c r="H267" s="281">
        <v>492</v>
      </c>
      <c r="I267" s="281">
        <v>-80700</v>
      </c>
      <c r="J267" s="281">
        <f t="shared" si="61"/>
        <v>0</v>
      </c>
    </row>
    <row r="268" spans="2:11" s="370" customFormat="1">
      <c r="B268" s="283" t="s">
        <v>1435</v>
      </c>
      <c r="C268" s="281">
        <v>0</v>
      </c>
      <c r="D268" s="281">
        <v>281</v>
      </c>
      <c r="E268" s="281">
        <v>4</v>
      </c>
      <c r="F268" s="281">
        <v>564</v>
      </c>
      <c r="G268" s="281"/>
      <c r="H268" s="281">
        <v>700</v>
      </c>
      <c r="I268" s="281">
        <f>-SUM(D268:H268)</f>
        <v>-1549</v>
      </c>
      <c r="J268" s="257">
        <f t="shared" ref="J268" si="63">SUM(D268:I268)</f>
        <v>0</v>
      </c>
    </row>
    <row r="269" spans="2:11" s="370" customFormat="1">
      <c r="B269" s="283" t="s">
        <v>1455</v>
      </c>
      <c r="C269" s="281">
        <v>0</v>
      </c>
      <c r="D269" s="281"/>
      <c r="E269" s="281">
        <v>10000</v>
      </c>
      <c r="F269" s="281"/>
      <c r="G269" s="281"/>
      <c r="H269" s="281"/>
      <c r="I269" s="281">
        <v>-10000</v>
      </c>
      <c r="J269" s="281">
        <f t="shared" si="61"/>
        <v>0</v>
      </c>
    </row>
    <row r="270" spans="2:11" s="370" customFormat="1">
      <c r="B270" s="283" t="s">
        <v>1455</v>
      </c>
      <c r="C270" s="281">
        <v>0</v>
      </c>
      <c r="D270" s="281"/>
      <c r="E270" s="281"/>
      <c r="F270" s="281"/>
      <c r="G270" s="281"/>
      <c r="H270" s="281">
        <v>2000</v>
      </c>
      <c r="I270" s="281">
        <v>-2000</v>
      </c>
      <c r="J270" s="281">
        <f t="shared" si="61"/>
        <v>0</v>
      </c>
    </row>
    <row r="271" spans="2:11" s="370" customFormat="1">
      <c r="B271" s="283" t="s">
        <v>1473</v>
      </c>
      <c r="C271" s="281">
        <v>0</v>
      </c>
      <c r="D271" s="281"/>
      <c r="E271" s="281"/>
      <c r="F271" s="281"/>
      <c r="G271" s="281"/>
      <c r="H271" s="281">
        <v>1000</v>
      </c>
      <c r="I271" s="281">
        <v>-1000</v>
      </c>
      <c r="J271" s="281">
        <f t="shared" si="61"/>
        <v>0</v>
      </c>
    </row>
    <row r="272" spans="2:11">
      <c r="B272" s="283" t="s">
        <v>1475</v>
      </c>
      <c r="C272" s="281">
        <v>0</v>
      </c>
      <c r="D272" s="281">
        <v>10000</v>
      </c>
      <c r="E272" s="281"/>
      <c r="F272" s="281"/>
      <c r="G272" s="281"/>
      <c r="H272" s="281"/>
      <c r="I272" s="281">
        <v>-10000</v>
      </c>
      <c r="J272" s="257">
        <f t="shared" si="58"/>
        <v>0</v>
      </c>
      <c r="K272" s="257"/>
    </row>
    <row r="273" spans="2:11" s="370" customFormat="1">
      <c r="B273" s="283" t="s">
        <v>1476</v>
      </c>
      <c r="C273" s="281">
        <f>-109-34</f>
        <v>-143</v>
      </c>
      <c r="D273" s="281"/>
      <c r="E273" s="281"/>
      <c r="F273" s="281"/>
      <c r="G273" s="281"/>
      <c r="H273" s="281"/>
      <c r="I273" s="281">
        <v>-143</v>
      </c>
      <c r="J273" s="281">
        <f t="shared" ref="J273" si="64">SUM(D273:I273)</f>
        <v>-143</v>
      </c>
      <c r="K273" s="257"/>
    </row>
    <row r="274" spans="2:11" s="370" customFormat="1">
      <c r="B274" s="283" t="s">
        <v>973</v>
      </c>
      <c r="C274" s="281">
        <v>0</v>
      </c>
      <c r="D274" s="281"/>
      <c r="E274" s="281">
        <v>30000</v>
      </c>
      <c r="F274" s="281"/>
      <c r="G274" s="281"/>
      <c r="H274" s="281"/>
      <c r="I274" s="281">
        <v>-30000</v>
      </c>
      <c r="J274" s="281">
        <f t="shared" si="58"/>
        <v>0</v>
      </c>
    </row>
    <row r="275" spans="2:11" s="370" customFormat="1">
      <c r="B275" s="283" t="s">
        <v>1489</v>
      </c>
      <c r="C275" s="281">
        <f>25423+16431</f>
        <v>41854</v>
      </c>
      <c r="D275" s="281"/>
      <c r="E275" s="281"/>
      <c r="F275" s="281"/>
      <c r="G275" s="281"/>
      <c r="H275" s="281"/>
      <c r="I275" s="281">
        <f>+C275</f>
        <v>41854</v>
      </c>
      <c r="J275" s="257">
        <f t="shared" si="58"/>
        <v>41854</v>
      </c>
    </row>
    <row r="276" spans="2:11" s="370" customFormat="1">
      <c r="B276" s="283" t="s">
        <v>1435</v>
      </c>
      <c r="C276" s="281">
        <v>0</v>
      </c>
      <c r="D276" s="281"/>
      <c r="E276" s="281"/>
      <c r="F276" s="281"/>
      <c r="G276" s="281"/>
      <c r="H276" s="281">
        <v>2604</v>
      </c>
      <c r="I276" s="281">
        <f>-H276</f>
        <v>-2604</v>
      </c>
      <c r="J276" s="257">
        <f t="shared" si="58"/>
        <v>0</v>
      </c>
    </row>
    <row r="277" spans="2:11" s="370" customFormat="1">
      <c r="B277" s="283" t="s">
        <v>1497</v>
      </c>
      <c r="C277" s="281">
        <v>91305</v>
      </c>
      <c r="D277" s="281"/>
      <c r="E277" s="281"/>
      <c r="F277" s="281"/>
      <c r="G277" s="281"/>
      <c r="H277" s="281"/>
      <c r="I277" s="281">
        <v>91305</v>
      </c>
      <c r="J277" s="257">
        <f t="shared" si="58"/>
        <v>91305</v>
      </c>
    </row>
    <row r="278" spans="2:11" s="370" customFormat="1">
      <c r="B278" s="518" t="s">
        <v>1499</v>
      </c>
      <c r="C278" s="519">
        <v>0</v>
      </c>
      <c r="D278" s="519">
        <v>22500</v>
      </c>
      <c r="E278" s="519">
        <v>67135</v>
      </c>
      <c r="F278" s="519">
        <v>12000</v>
      </c>
      <c r="G278" s="519">
        <v>12000</v>
      </c>
      <c r="H278" s="519">
        <v>2565</v>
      </c>
      <c r="I278" s="519">
        <f>-SUM(D278:H278)</f>
        <v>-116200</v>
      </c>
      <c r="J278" s="281">
        <v>0</v>
      </c>
    </row>
    <row r="279" spans="2:11">
      <c r="B279" s="283" t="s">
        <v>1535</v>
      </c>
      <c r="C279" s="281">
        <v>0</v>
      </c>
      <c r="D279" s="281"/>
      <c r="E279" s="281"/>
      <c r="F279" s="281"/>
      <c r="G279" s="281">
        <v>-16000</v>
      </c>
      <c r="H279" s="281"/>
      <c r="I279" s="281">
        <v>16000</v>
      </c>
      <c r="J279" s="257">
        <f t="shared" si="58"/>
        <v>0</v>
      </c>
      <c r="K279" s="370"/>
    </row>
    <row r="280" spans="2:11" s="370" customFormat="1">
      <c r="B280" s="283" t="s">
        <v>1537</v>
      </c>
      <c r="C280" s="281">
        <f>1113471-610815</f>
        <v>502656</v>
      </c>
      <c r="D280" s="281"/>
      <c r="E280" s="281"/>
      <c r="F280" s="281"/>
      <c r="G280" s="281"/>
      <c r="H280" s="281"/>
      <c r="I280" s="281">
        <v>502656</v>
      </c>
      <c r="J280" s="257">
        <f t="shared" si="58"/>
        <v>502656</v>
      </c>
    </row>
    <row r="281" spans="2:11" s="370" customFormat="1">
      <c r="B281" s="283" t="s">
        <v>1435</v>
      </c>
      <c r="C281" s="281">
        <v>0</v>
      </c>
      <c r="D281" s="281"/>
      <c r="E281" s="281">
        <v>150</v>
      </c>
      <c r="F281" s="281"/>
      <c r="G281" s="281"/>
      <c r="H281" s="281"/>
      <c r="I281" s="281">
        <f>-SUM(D281:H281)</f>
        <v>-150</v>
      </c>
      <c r="J281" s="257">
        <f t="shared" si="58"/>
        <v>0</v>
      </c>
    </row>
    <row r="282" spans="2:11" s="370" customFormat="1">
      <c r="B282" s="283" t="s">
        <v>1536</v>
      </c>
      <c r="C282" s="281">
        <v>0</v>
      </c>
      <c r="D282" s="281">
        <v>4269</v>
      </c>
      <c r="E282" s="281">
        <v>43743</v>
      </c>
      <c r="F282" s="281">
        <v>6851</v>
      </c>
      <c r="G282" s="281">
        <v>21715</v>
      </c>
      <c r="H282" s="281"/>
      <c r="I282" s="281">
        <f>-SUM(D282:H282)</f>
        <v>-76578</v>
      </c>
      <c r="J282" s="257">
        <f t="shared" ref="J282" si="65">SUM(D282:I282)</f>
        <v>0</v>
      </c>
    </row>
    <row r="283" spans="2:11" s="370" customFormat="1">
      <c r="B283" s="283" t="s">
        <v>1621</v>
      </c>
      <c r="C283" s="281">
        <v>0</v>
      </c>
      <c r="D283" s="281">
        <v>16958</v>
      </c>
      <c r="E283" s="281">
        <v>112925</v>
      </c>
      <c r="F283" s="281">
        <v>8935</v>
      </c>
      <c r="G283" s="281">
        <v>15765</v>
      </c>
      <c r="H283" s="281">
        <v>4911</v>
      </c>
      <c r="I283" s="281">
        <v>-159494</v>
      </c>
      <c r="J283" s="257">
        <f t="shared" si="58"/>
        <v>0</v>
      </c>
    </row>
    <row r="284" spans="2:11" s="370" customFormat="1">
      <c r="B284" s="283" t="s">
        <v>1622</v>
      </c>
      <c r="C284" s="281">
        <v>0</v>
      </c>
      <c r="D284" s="281">
        <f>57106+135</f>
        <v>57241</v>
      </c>
      <c r="E284" s="281">
        <f>82298+20236</f>
        <v>102534</v>
      </c>
      <c r="F284" s="281">
        <v>19851</v>
      </c>
      <c r="G284" s="281">
        <v>32906</v>
      </c>
      <c r="H284" s="281">
        <v>3192</v>
      </c>
      <c r="I284" s="281">
        <v>-215724</v>
      </c>
      <c r="J284" s="257">
        <f t="shared" si="58"/>
        <v>0</v>
      </c>
    </row>
    <row r="285" spans="2:11" s="370" customFormat="1" hidden="1">
      <c r="B285" s="283" t="s">
        <v>722</v>
      </c>
      <c r="C285" s="281">
        <v>0</v>
      </c>
      <c r="D285" s="281"/>
      <c r="E285" s="281"/>
      <c r="F285" s="281"/>
      <c r="G285" s="281"/>
      <c r="H285" s="281"/>
      <c r="I285" s="281"/>
      <c r="J285" s="257">
        <f t="shared" si="58"/>
        <v>0</v>
      </c>
    </row>
    <row r="286" spans="2:11" s="370" customFormat="1" hidden="1">
      <c r="B286" s="283" t="s">
        <v>726</v>
      </c>
      <c r="C286" s="281"/>
      <c r="D286" s="281"/>
      <c r="E286" s="281"/>
      <c r="F286" s="281"/>
      <c r="G286" s="281"/>
      <c r="H286" s="281"/>
      <c r="I286" s="281"/>
      <c r="J286" s="257">
        <f t="shared" si="58"/>
        <v>0</v>
      </c>
    </row>
    <row r="287" spans="2:11" s="370" customFormat="1" hidden="1">
      <c r="B287" s="283" t="s">
        <v>727</v>
      </c>
      <c r="C287" s="281">
        <v>0</v>
      </c>
      <c r="D287" s="281"/>
      <c r="E287" s="281"/>
      <c r="F287" s="281"/>
      <c r="G287" s="281"/>
      <c r="H287" s="281"/>
      <c r="I287" s="281"/>
      <c r="J287" s="257">
        <f t="shared" si="58"/>
        <v>0</v>
      </c>
    </row>
    <row r="288" spans="2:11" s="370" customFormat="1" hidden="1">
      <c r="B288" s="283" t="s">
        <v>106</v>
      </c>
      <c r="C288" s="281"/>
      <c r="D288" s="281"/>
      <c r="E288" s="281"/>
      <c r="F288" s="281"/>
      <c r="G288" s="281"/>
      <c r="H288" s="281"/>
      <c r="I288" s="281"/>
      <c r="J288" s="257">
        <f t="shared" si="58"/>
        <v>0</v>
      </c>
    </row>
    <row r="289" spans="1:11" hidden="1">
      <c r="B289" s="518" t="s">
        <v>731</v>
      </c>
      <c r="C289" s="257">
        <v>0</v>
      </c>
      <c r="D289" s="257"/>
      <c r="E289" s="257"/>
      <c r="F289" s="257"/>
      <c r="G289" s="257"/>
      <c r="H289" s="257"/>
      <c r="I289" s="257"/>
      <c r="J289" s="281">
        <f t="shared" si="58"/>
        <v>0</v>
      </c>
      <c r="K289" s="370"/>
    </row>
    <row r="290" spans="1:11" s="370" customFormat="1" hidden="1">
      <c r="B290" s="283" t="s">
        <v>107</v>
      </c>
      <c r="C290" s="257">
        <v>0</v>
      </c>
      <c r="D290" s="257"/>
      <c r="E290" s="257"/>
      <c r="F290" s="257"/>
      <c r="G290" s="257"/>
      <c r="H290" s="257"/>
      <c r="I290" s="257"/>
      <c r="J290" s="281">
        <f t="shared" ref="J290:J291" si="66">SUM(D290:I290)</f>
        <v>0</v>
      </c>
    </row>
    <row r="291" spans="1:11" s="370" customFormat="1" hidden="1">
      <c r="B291" s="518" t="s">
        <v>108</v>
      </c>
      <c r="C291" s="257">
        <v>0</v>
      </c>
      <c r="D291" s="257"/>
      <c r="E291" s="257"/>
      <c r="F291" s="257"/>
      <c r="G291" s="257"/>
      <c r="H291" s="257"/>
      <c r="I291" s="257"/>
      <c r="J291" s="281">
        <f t="shared" si="66"/>
        <v>0</v>
      </c>
    </row>
    <row r="292" spans="1:11" s="370" customFormat="1" hidden="1">
      <c r="B292" s="518" t="s">
        <v>109</v>
      </c>
      <c r="C292" s="519">
        <v>0</v>
      </c>
      <c r="D292" s="519"/>
      <c r="E292" s="519"/>
      <c r="F292" s="519"/>
      <c r="G292" s="519"/>
      <c r="H292" s="519"/>
      <c r="I292" s="519"/>
      <c r="J292" s="520">
        <f t="shared" ref="J292" si="67">SUM(D292:I292)</f>
        <v>0</v>
      </c>
    </row>
    <row r="293" spans="1:11" s="370" customFormat="1" hidden="1">
      <c r="B293" s="518" t="s">
        <v>110</v>
      </c>
      <c r="C293" s="519">
        <v>0</v>
      </c>
      <c r="D293" s="519"/>
      <c r="E293" s="519"/>
      <c r="F293" s="519"/>
      <c r="G293" s="519"/>
      <c r="H293" s="519"/>
      <c r="I293" s="519"/>
      <c r="J293" s="520">
        <f>SUM(D293:I293)</f>
        <v>0</v>
      </c>
    </row>
    <row r="294" spans="1:11" s="370" customFormat="1" hidden="1">
      <c r="B294" s="518" t="s">
        <v>111</v>
      </c>
      <c r="C294" s="519">
        <v>0</v>
      </c>
      <c r="D294" s="519"/>
      <c r="E294" s="519"/>
      <c r="F294" s="519"/>
      <c r="G294" s="519"/>
      <c r="H294" s="519"/>
      <c r="I294" s="519"/>
      <c r="J294" s="520">
        <f t="shared" ref="J294:J296" si="68">SUM(D294:I294)</f>
        <v>0</v>
      </c>
    </row>
    <row r="295" spans="1:11" s="370" customFormat="1" hidden="1">
      <c r="B295" s="518" t="s">
        <v>112</v>
      </c>
      <c r="C295" s="519">
        <v>0</v>
      </c>
      <c r="D295" s="519"/>
      <c r="E295" s="519"/>
      <c r="F295" s="519"/>
      <c r="G295" s="519"/>
      <c r="H295" s="519"/>
      <c r="I295" s="519"/>
      <c r="J295" s="520">
        <f t="shared" si="68"/>
        <v>0</v>
      </c>
    </row>
    <row r="296" spans="1:11" s="370" customFormat="1" hidden="1">
      <c r="B296" s="518" t="s">
        <v>102</v>
      </c>
      <c r="C296" s="519">
        <v>0</v>
      </c>
      <c r="D296" s="519"/>
      <c r="E296" s="519"/>
      <c r="F296" s="519"/>
      <c r="G296" s="519"/>
      <c r="H296" s="519"/>
      <c r="I296" s="519"/>
      <c r="J296" s="520">
        <f t="shared" si="68"/>
        <v>0</v>
      </c>
    </row>
    <row r="297" spans="1:11" s="370" customFormat="1">
      <c r="B297" s="518"/>
      <c r="C297" s="519"/>
      <c r="D297" s="519"/>
      <c r="E297" s="519"/>
      <c r="F297" s="519"/>
      <c r="G297" s="519"/>
      <c r="H297" s="519"/>
      <c r="I297" s="519"/>
      <c r="J297" s="281"/>
    </row>
    <row r="299" spans="1:11">
      <c r="B299" s="370" t="s">
        <v>5</v>
      </c>
      <c r="C299" s="257">
        <f>SUM(C253:C298)</f>
        <v>1376071</v>
      </c>
      <c r="D299" s="257">
        <f>SUM(D253:D298)</f>
        <v>199551</v>
      </c>
      <c r="E299" s="257">
        <f>SUM(E253:E298)</f>
        <v>553825</v>
      </c>
      <c r="F299" s="257">
        <f>SUM(F253:F298)</f>
        <v>97899</v>
      </c>
      <c r="G299" s="257">
        <f>SUM(G253:G298)</f>
        <v>134767</v>
      </c>
      <c r="H299" s="257">
        <f>SUM(H253:H298)</f>
        <v>22724</v>
      </c>
      <c r="I299" s="257">
        <f>SUM(I253:I298)</f>
        <v>367305</v>
      </c>
      <c r="J299" s="257">
        <f>SUM(J253:J298)</f>
        <v>1376071</v>
      </c>
    </row>
    <row r="301" spans="1:11" s="370" customFormat="1">
      <c r="C301" s="257">
        <f>+C7+C37+C82+C139+C161+C181+C204</f>
        <v>1376071</v>
      </c>
      <c r="D301" s="281">
        <f>+D299-D241-D239-D234-D236-D237-D238-D242-D235</f>
        <v>-0.22898020684078801</v>
      </c>
      <c r="E301" s="281">
        <f>+E299-E241-E239-E234-E236-E237-E238+E119+E120-E242-E235</f>
        <v>-0.10204152399091981</v>
      </c>
      <c r="F301" s="281">
        <f>+F299-F241-F239-F234-F236-F237-F238+F119+F120-F242-F235</f>
        <v>-0.36713727627648041</v>
      </c>
      <c r="G301" s="281">
        <f>+G299-G241-G239-G234-G236-G237-G238+G119+G120-G242-G235</f>
        <v>-0.68953776231501251</v>
      </c>
      <c r="H301" s="281">
        <f>+H299-H241-H239-H234-H236-H237-H238+H119+H120-H242-H235</f>
        <v>-0.89000323055370245</v>
      </c>
      <c r="I301" s="281"/>
      <c r="J301" s="281"/>
    </row>
    <row r="303" spans="1:11">
      <c r="A303" s="283"/>
      <c r="C303" s="257">
        <f>+C299-C301</f>
        <v>0</v>
      </c>
      <c r="D303" s="257"/>
      <c r="E303" s="257"/>
      <c r="F303" s="257"/>
      <c r="G303" s="257"/>
      <c r="H303" s="257"/>
      <c r="I303" s="257"/>
    </row>
  </sheetData>
  <pageMargins left="0.45" right="0.45" top="0.75" bottom="0.75" header="0.3" footer="0.3"/>
  <pageSetup scale="70" fitToHeight="0" orientation="landscape" r:id="rId1"/>
  <headerFooter>
    <oddHeader xml:space="preserve">&amp;CDRAFT NOT FOR DISTRIBUTION, INTERNAL USE ONLY
</oddHeader>
  </headerFooter>
  <rowBreaks count="4" manualBreakCount="4">
    <brk id="76" max="16383" man="1"/>
    <brk id="155" max="16383" man="1"/>
    <brk id="198" max="9" man="1"/>
    <brk id="24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XFD73"/>
  <sheetViews>
    <sheetView topLeftCell="A52" zoomScale="90" zoomScaleNormal="90" workbookViewId="0">
      <selection activeCell="E54" sqref="E54:H54"/>
    </sheetView>
  </sheetViews>
  <sheetFormatPr defaultRowHeight="14.5"/>
  <cols>
    <col min="1" max="1" width="57.453125" bestFit="1" customWidth="1"/>
    <col min="2" max="2" width="8" bestFit="1" customWidth="1"/>
    <col min="3" max="3" width="8.453125" bestFit="1" customWidth="1"/>
    <col min="4" max="4" width="8.54296875" bestFit="1" customWidth="1"/>
    <col min="5" max="6" width="8.453125" bestFit="1" customWidth="1"/>
    <col min="7" max="9" width="7.26953125" bestFit="1" customWidth="1"/>
    <col min="10" max="10" width="7.1796875" bestFit="1" customWidth="1"/>
    <col min="11" max="11" width="8.453125" bestFit="1" customWidth="1"/>
    <col min="12" max="12" width="8.90625" style="149" bestFit="1" customWidth="1"/>
    <col min="13" max="13" width="4.453125" bestFit="1" customWidth="1"/>
    <col min="14" max="14" width="7.453125" style="247" customWidth="1"/>
    <col min="15" max="15" width="8" customWidth="1"/>
    <col min="16" max="16" width="10.90625" bestFit="1" customWidth="1"/>
  </cols>
  <sheetData>
    <row r="1" spans="1:22" s="314" customFormat="1" ht="18.5">
      <c r="A1" s="317" t="s">
        <v>113</v>
      </c>
      <c r="B1" s="316"/>
      <c r="C1" s="316"/>
      <c r="D1" s="316"/>
      <c r="E1" s="316"/>
      <c r="F1" s="316"/>
      <c r="G1" s="316"/>
      <c r="H1" s="316"/>
      <c r="I1" s="316"/>
      <c r="J1" s="316"/>
      <c r="K1" s="316"/>
      <c r="L1" s="316"/>
      <c r="M1" s="316" t="s">
        <v>114</v>
      </c>
      <c r="N1" s="247"/>
      <c r="O1" s="370"/>
      <c r="P1" s="370"/>
      <c r="Q1" s="370"/>
      <c r="R1" s="370"/>
      <c r="S1" s="370"/>
      <c r="T1" s="370"/>
      <c r="U1" s="370"/>
      <c r="V1" s="370"/>
    </row>
    <row r="2" spans="1:22" ht="39.5">
      <c r="A2" s="110" t="s">
        <v>115</v>
      </c>
      <c r="B2" s="1" t="s">
        <v>116</v>
      </c>
      <c r="C2" s="2" t="s">
        <v>953</v>
      </c>
      <c r="D2" s="106" t="s">
        <v>1006</v>
      </c>
      <c r="E2" s="105" t="s">
        <v>0</v>
      </c>
      <c r="F2" s="1" t="s">
        <v>1</v>
      </c>
      <c r="G2" s="1" t="s">
        <v>2</v>
      </c>
      <c r="H2" s="1" t="s">
        <v>3</v>
      </c>
      <c r="I2" s="1" t="s">
        <v>4</v>
      </c>
      <c r="J2" s="1" t="s">
        <v>26</v>
      </c>
      <c r="K2" s="1" t="s">
        <v>5</v>
      </c>
      <c r="L2" s="229" t="s">
        <v>117</v>
      </c>
      <c r="M2" s="316">
        <v>0</v>
      </c>
      <c r="O2" s="370"/>
      <c r="P2" s="370"/>
      <c r="Q2" s="370"/>
      <c r="R2" s="370"/>
      <c r="S2" s="370"/>
      <c r="T2" s="370"/>
      <c r="U2" s="370"/>
      <c r="V2" s="370"/>
    </row>
    <row r="3" spans="1:22" s="149" customFormat="1">
      <c r="A3" s="140" t="s">
        <v>118</v>
      </c>
      <c r="B3" s="180" t="s">
        <v>119</v>
      </c>
      <c r="C3" s="268">
        <f>'Aviation Assets~Prep'!E46</f>
        <v>38320</v>
      </c>
      <c r="D3" s="107">
        <f>'Aviation Assets~Prep'!G46</f>
        <v>36861</v>
      </c>
      <c r="E3" s="122">
        <f>'Aviation Assets~Prep'!H46</f>
        <v>6322</v>
      </c>
      <c r="F3" s="122">
        <f>'Aviation Assets~Prep'!I46</f>
        <v>26377</v>
      </c>
      <c r="G3" s="122">
        <f>'Aviation Assets~Prep'!J46</f>
        <v>0</v>
      </c>
      <c r="H3" s="122">
        <f>'Aviation Assets~Prep'!K46</f>
        <v>4162</v>
      </c>
      <c r="I3" s="122">
        <f>'Aviation Assets~Prep'!L46</f>
        <v>0</v>
      </c>
      <c r="J3" s="122">
        <f>'Aviation Assets~Prep'!M46</f>
        <v>0</v>
      </c>
      <c r="K3" s="136">
        <f t="shared" ref="K3:K9" si="0">SUM(E3:J3)</f>
        <v>36861</v>
      </c>
      <c r="L3" s="228">
        <f t="shared" ref="L3:L16" si="1">(K3*-$M$2)+K3</f>
        <v>36861</v>
      </c>
      <c r="M3" s="370"/>
      <c r="N3" s="247"/>
      <c r="O3" s="468"/>
      <c r="P3" s="247"/>
      <c r="Q3" s="247"/>
      <c r="R3" s="247"/>
      <c r="S3" s="247"/>
      <c r="T3" s="247"/>
      <c r="U3" s="247"/>
      <c r="V3" s="247"/>
    </row>
    <row r="4" spans="1:22" s="149" customFormat="1">
      <c r="A4" s="140" t="s">
        <v>120</v>
      </c>
      <c r="B4" s="121" t="s">
        <v>121</v>
      </c>
      <c r="C4" s="268">
        <f>+'Collaborative Imp'!E45</f>
        <v>46</v>
      </c>
      <c r="D4" s="107">
        <f>+K4</f>
        <v>52.244999999999997</v>
      </c>
      <c r="E4" s="122">
        <f>+'Collaborative Imp'!G37*'Prep%Fuelspercentage.direct'!$C$38</f>
        <v>0</v>
      </c>
      <c r="F4" s="122">
        <f>+'Collaborative Imp'!H37*'Prep%Fuelspercentage.direct'!$C$38</f>
        <v>0</v>
      </c>
      <c r="G4" s="122">
        <f>+'Collaborative Imp'!I37*'Prep%Fuelspercentage.direct'!$C$38</f>
        <v>0</v>
      </c>
      <c r="H4" s="122">
        <f>+'Collaborative Imp'!J37*'Prep%Fuelspercentage.direct'!$C$38</f>
        <v>0</v>
      </c>
      <c r="I4" s="122">
        <f>+'Collaborative Imp'!K37*'Prep%Fuelspercentage.direct'!$C$38</f>
        <v>0</v>
      </c>
      <c r="J4" s="122">
        <f>+'Collaborative Imp'!F40</f>
        <v>52.244999999999997</v>
      </c>
      <c r="K4" s="136">
        <f>SUM(E4:J4)</f>
        <v>52.244999999999997</v>
      </c>
      <c r="L4" s="228">
        <f t="shared" si="1"/>
        <v>52.244999999999997</v>
      </c>
      <c r="M4" s="223"/>
      <c r="N4" s="247"/>
      <c r="O4" s="247"/>
      <c r="P4" s="247"/>
      <c r="Q4" s="247"/>
      <c r="R4" s="247"/>
      <c r="S4" s="247"/>
      <c r="T4" s="247"/>
      <c r="U4" s="247"/>
      <c r="V4" s="247"/>
    </row>
    <row r="5" spans="1:22">
      <c r="A5" s="140" t="s">
        <v>122</v>
      </c>
      <c r="B5" s="121" t="s">
        <v>121</v>
      </c>
      <c r="C5" s="268">
        <f>'DOI prep agrmnts'!E38</f>
        <v>280</v>
      </c>
      <c r="D5" s="107">
        <f>'DOI prep agrmnts'!F38</f>
        <v>412</v>
      </c>
      <c r="E5" s="122">
        <f>'DOI prep agrmnts'!G38</f>
        <v>0</v>
      </c>
      <c r="F5" s="122">
        <f>'DOI prep agrmnts'!H38</f>
        <v>0</v>
      </c>
      <c r="G5" s="122">
        <f>'DOI prep agrmnts'!I38</f>
        <v>0</v>
      </c>
      <c r="H5" s="122">
        <f>'DOI prep agrmnts'!J38</f>
        <v>0</v>
      </c>
      <c r="I5" s="268">
        <f>('DOI prep agrmnts'!K38)</f>
        <v>342</v>
      </c>
      <c r="J5" s="268">
        <f>('DOI prep agrmnts'!L38)</f>
        <v>70</v>
      </c>
      <c r="K5" s="136">
        <f t="shared" si="0"/>
        <v>412</v>
      </c>
      <c r="L5" s="228">
        <f t="shared" si="1"/>
        <v>412</v>
      </c>
      <c r="M5" s="370"/>
      <c r="O5" s="247"/>
      <c r="P5" s="247"/>
      <c r="Q5" s="247"/>
      <c r="R5" s="247"/>
      <c r="S5" s="247"/>
      <c r="T5" s="247"/>
      <c r="U5" s="247"/>
      <c r="V5" s="247"/>
    </row>
    <row r="6" spans="1:22">
      <c r="A6" s="542" t="s">
        <v>123</v>
      </c>
      <c r="B6" s="121" t="s">
        <v>121</v>
      </c>
      <c r="C6" s="268">
        <f>+'LLC Support'!I45</f>
        <v>270</v>
      </c>
      <c r="D6" s="107">
        <f>+K6</f>
        <v>193.1</v>
      </c>
      <c r="E6" s="122">
        <f>'LLC Support'!G41*'Prep%Fuelspercentage.direct'!$C38</f>
        <v>0</v>
      </c>
      <c r="F6" s="122">
        <f>'LLC Support'!H41*'Prep%Fuelspercentage.direct'!$C38</f>
        <v>0</v>
      </c>
      <c r="G6" s="122">
        <f>'LLC Support'!I41*'Prep%Fuelspercentage.direct'!$C38</f>
        <v>0</v>
      </c>
      <c r="H6" s="122">
        <f>+'LLC Support'!J45</f>
        <v>193.1</v>
      </c>
      <c r="I6" s="268">
        <v>0</v>
      </c>
      <c r="J6" s="268">
        <v>0</v>
      </c>
      <c r="K6" s="136">
        <f t="shared" si="0"/>
        <v>193.1</v>
      </c>
      <c r="L6" s="228">
        <f t="shared" si="1"/>
        <v>193.1</v>
      </c>
      <c r="M6" s="257"/>
      <c r="O6" s="247"/>
      <c r="P6" s="247"/>
      <c r="Q6" s="247"/>
      <c r="R6" s="247"/>
      <c r="S6" s="247"/>
      <c r="T6" s="247"/>
      <c r="U6" s="247"/>
      <c r="V6" s="247"/>
    </row>
    <row r="7" spans="1:22" s="347" customFormat="1">
      <c r="A7" s="140" t="s">
        <v>124</v>
      </c>
      <c r="B7" s="121" t="s">
        <v>121</v>
      </c>
      <c r="C7" s="268">
        <f>+'Lightning Det.'!E35</f>
        <v>26</v>
      </c>
      <c r="D7" s="107">
        <f>'Lightning Det.'!F35</f>
        <v>26</v>
      </c>
      <c r="E7" s="122">
        <f>'Lightning Det.'!G35</f>
        <v>0</v>
      </c>
      <c r="F7" s="122">
        <f>'Lightning Det.'!H35</f>
        <v>26</v>
      </c>
      <c r="G7" s="122">
        <f>'Lightning Det.'!I35</f>
        <v>0</v>
      </c>
      <c r="H7" s="122">
        <f>'Lightning Det.'!J35</f>
        <v>0</v>
      </c>
      <c r="I7" s="122">
        <f>'Lightning Det.'!K35</f>
        <v>0</v>
      </c>
      <c r="J7" s="122">
        <f>'Lightning Det.'!L35</f>
        <v>0</v>
      </c>
      <c r="K7" s="136">
        <f>SUM(E7:J7)</f>
        <v>26</v>
      </c>
      <c r="L7" s="228">
        <f>(K7*-$M$2)+K7</f>
        <v>26</v>
      </c>
      <c r="M7" s="257"/>
      <c r="N7" s="247"/>
      <c r="O7" s="247"/>
      <c r="P7" s="247"/>
      <c r="Q7" s="247"/>
      <c r="R7" s="247"/>
      <c r="S7" s="247"/>
      <c r="T7" s="247"/>
      <c r="U7" s="247"/>
      <c r="V7" s="247"/>
    </row>
    <row r="8" spans="1:22">
      <c r="A8" s="140" t="s">
        <v>125</v>
      </c>
      <c r="B8" s="121" t="s">
        <v>121</v>
      </c>
      <c r="C8" s="268">
        <f>'Med Standards Ops'!E35</f>
        <v>710</v>
      </c>
      <c r="D8" s="107">
        <f>'Med Standards Ops'!F35</f>
        <v>786</v>
      </c>
      <c r="E8" s="122">
        <f>'Med Standards Ops'!G35</f>
        <v>0</v>
      </c>
      <c r="F8" s="122">
        <f>'Med Standards Ops'!H35</f>
        <v>53</v>
      </c>
      <c r="G8" s="122">
        <f>'Med Standards Ops'!I35</f>
        <v>0</v>
      </c>
      <c r="H8" s="122">
        <f>'Med Standards Ops'!J35</f>
        <v>63</v>
      </c>
      <c r="I8" s="268">
        <f>'Med Standards Ops'!K35</f>
        <v>670</v>
      </c>
      <c r="J8" s="268">
        <f>'Med Standards Ops'!L35</f>
        <v>0</v>
      </c>
      <c r="K8" s="136">
        <f t="shared" si="0"/>
        <v>786</v>
      </c>
      <c r="L8" s="228">
        <f t="shared" si="1"/>
        <v>786</v>
      </c>
      <c r="M8" s="370"/>
      <c r="O8" s="247"/>
      <c r="P8" s="247"/>
      <c r="Q8" s="247"/>
      <c r="R8" s="247"/>
      <c r="S8" s="247"/>
      <c r="T8" s="247"/>
      <c r="U8" s="247"/>
      <c r="V8" s="247"/>
    </row>
    <row r="9" spans="1:22" s="370" customFormat="1">
      <c r="A9" s="140" t="s">
        <v>969</v>
      </c>
      <c r="B9" s="180" t="s">
        <v>121</v>
      </c>
      <c r="C9" s="268">
        <f>+'Physical &amp; Mental Health Ops'!E52</f>
        <v>2348</v>
      </c>
      <c r="D9" s="107">
        <f>+'Physical &amp; Mental Health Ops'!F52</f>
        <v>2418</v>
      </c>
      <c r="E9" s="122">
        <f>+'Physical &amp; Mental Health Ops'!G51</f>
        <v>498</v>
      </c>
      <c r="F9" s="122">
        <f>+'Physical &amp; Mental Health Ops'!H51</f>
        <v>242</v>
      </c>
      <c r="G9" s="122">
        <f>+'Physical &amp; Mental Health Ops'!I51</f>
        <v>119</v>
      </c>
      <c r="H9" s="122">
        <f>+'Physical &amp; Mental Health Ops'!J51</f>
        <v>222</v>
      </c>
      <c r="I9" s="122">
        <f>+'Physical &amp; Mental Health Ops'!K51</f>
        <v>765</v>
      </c>
      <c r="J9" s="122">
        <f>+'Physical &amp; Mental Health Ops'!L51-'Physical &amp; Mental Health Ops'!B57</f>
        <v>572</v>
      </c>
      <c r="K9" s="136">
        <f t="shared" si="0"/>
        <v>2418</v>
      </c>
      <c r="L9" s="228">
        <f t="shared" si="1"/>
        <v>2418</v>
      </c>
      <c r="N9" s="247"/>
      <c r="O9" s="247"/>
      <c r="P9" s="247"/>
      <c r="Q9" s="247"/>
      <c r="R9" s="247"/>
      <c r="S9" s="247"/>
      <c r="T9" s="247"/>
      <c r="U9" s="247"/>
      <c r="V9" s="247"/>
    </row>
    <row r="10" spans="1:22" s="370" customFormat="1">
      <c r="A10" s="140" t="s">
        <v>126</v>
      </c>
      <c r="B10" s="180" t="s">
        <v>121</v>
      </c>
      <c r="C10" s="268">
        <f>+'WFMRD&amp;A'!E41</f>
        <v>427</v>
      </c>
      <c r="D10" s="107">
        <f>+'WFMRD&amp;A'!F41</f>
        <v>765</v>
      </c>
      <c r="E10" s="122">
        <f>'WFMRD&amp;A'!G41</f>
        <v>0</v>
      </c>
      <c r="F10" s="122">
        <f>'WFMRD&amp;A'!H41</f>
        <v>0</v>
      </c>
      <c r="G10" s="122">
        <f>'WFMRD&amp;A'!I41</f>
        <v>0</v>
      </c>
      <c r="H10" s="122">
        <f>'WFMRD&amp;A'!J41</f>
        <v>619</v>
      </c>
      <c r="I10" s="122">
        <f>'WFMRD&amp;A'!K41</f>
        <v>0</v>
      </c>
      <c r="J10" s="122">
        <f>'WFMRD&amp;A'!L41</f>
        <v>146</v>
      </c>
      <c r="K10" s="136">
        <f t="shared" ref="K10:K16" si="2">SUM(E10:J10)</f>
        <v>765</v>
      </c>
      <c r="L10" s="228">
        <f>(K10*-$M$2)+K10</f>
        <v>765</v>
      </c>
      <c r="N10" s="247"/>
    </row>
    <row r="11" spans="1:22" s="149" customFormat="1">
      <c r="A11" s="140" t="s">
        <v>127</v>
      </c>
      <c r="B11" s="180" t="s">
        <v>128</v>
      </c>
      <c r="C11" s="268">
        <f>+'IT (WFIT) Project Summary'!C20</f>
        <v>10445</v>
      </c>
      <c r="D11" s="107">
        <f>+'IT (WFIT) Project Summary'!D20</f>
        <v>8735.8235999999997</v>
      </c>
      <c r="E11" s="122">
        <f>+'IT (WFIT) Project Summary'!E20</f>
        <v>0</v>
      </c>
      <c r="F11" s="122">
        <f>+'IT (WFIT) Project Summary'!F20</f>
        <v>2129.4016000000001</v>
      </c>
      <c r="G11" s="122">
        <f>+'IT (WFIT) Project Summary'!G20</f>
        <v>95</v>
      </c>
      <c r="H11" s="122">
        <f>+'IT (WFIT) Project Summary'!H20</f>
        <v>1034</v>
      </c>
      <c r="I11" s="122">
        <f>+'IT (WFIT) Project Summary'!I20</f>
        <v>4868</v>
      </c>
      <c r="J11" s="122">
        <f>+'IT (WFIT) Project Summary'!J20</f>
        <v>609</v>
      </c>
      <c r="K11" s="136">
        <f t="shared" si="2"/>
        <v>8735.4016000000011</v>
      </c>
      <c r="L11" s="228">
        <f>(K11*-$M$2)+K11</f>
        <v>8735.4016000000011</v>
      </c>
      <c r="M11" s="370"/>
      <c r="N11" s="247"/>
      <c r="O11" s="247"/>
      <c r="P11" s="247"/>
      <c r="Q11" s="247"/>
      <c r="R11" s="247"/>
      <c r="S11" s="247"/>
      <c r="T11" s="247"/>
      <c r="U11" s="247"/>
      <c r="V11" s="247"/>
    </row>
    <row r="12" spans="1:22" s="314" customFormat="1">
      <c r="A12" s="110" t="s">
        <v>129</v>
      </c>
      <c r="B12" s="180"/>
      <c r="C12" s="122"/>
      <c r="D12" s="107"/>
      <c r="E12" s="122"/>
      <c r="F12" s="122"/>
      <c r="G12" s="122"/>
      <c r="H12" s="122"/>
      <c r="I12" s="122"/>
      <c r="J12" s="122"/>
      <c r="K12" s="136"/>
      <c r="L12" s="228"/>
      <c r="M12" s="370"/>
      <c r="N12" s="247"/>
      <c r="O12" s="247"/>
      <c r="P12" s="247"/>
      <c r="Q12" s="247"/>
      <c r="R12" s="247"/>
      <c r="S12" s="247"/>
      <c r="T12" s="247"/>
      <c r="U12" s="247"/>
      <c r="V12" s="247"/>
    </row>
    <row r="13" spans="1:22" s="314" customFormat="1">
      <c r="A13" s="140" t="s">
        <v>130</v>
      </c>
      <c r="B13" s="180" t="s">
        <v>121</v>
      </c>
      <c r="C13" s="268">
        <v>9000</v>
      </c>
      <c r="D13" s="107">
        <v>9000</v>
      </c>
      <c r="E13" s="122">
        <v>9000</v>
      </c>
      <c r="F13" s="122">
        <v>0</v>
      </c>
      <c r="G13" s="122"/>
      <c r="H13" s="122"/>
      <c r="I13" s="122"/>
      <c r="J13" s="122"/>
      <c r="K13" s="136">
        <f t="shared" si="2"/>
        <v>9000</v>
      </c>
      <c r="L13" s="228">
        <f t="shared" si="1"/>
        <v>9000</v>
      </c>
      <c r="M13" s="370"/>
      <c r="N13" s="247"/>
      <c r="O13" s="247"/>
      <c r="P13" s="247"/>
      <c r="Q13" s="247"/>
      <c r="R13" s="247"/>
      <c r="S13" s="247"/>
      <c r="T13" s="247"/>
      <c r="U13" s="247"/>
      <c r="V13" s="247"/>
    </row>
    <row r="14" spans="1:22" s="347" customFormat="1">
      <c r="A14" s="140" t="s">
        <v>131</v>
      </c>
      <c r="B14" s="180" t="s">
        <v>119</v>
      </c>
      <c r="C14" s="268">
        <v>6000</v>
      </c>
      <c r="D14" s="107">
        <v>6000</v>
      </c>
      <c r="E14" s="122">
        <v>6000</v>
      </c>
      <c r="F14" s="122">
        <v>0</v>
      </c>
      <c r="G14" s="122"/>
      <c r="H14" s="122"/>
      <c r="I14" s="122"/>
      <c r="J14" s="122"/>
      <c r="K14" s="136">
        <f t="shared" si="2"/>
        <v>6000</v>
      </c>
      <c r="L14" s="228">
        <f>(K14*-$M$2)+K14</f>
        <v>6000</v>
      </c>
      <c r="M14" s="370"/>
      <c r="N14" s="247"/>
      <c r="O14" s="247"/>
      <c r="P14" s="247"/>
      <c r="Q14" s="247"/>
      <c r="R14" s="247"/>
      <c r="S14" s="247"/>
      <c r="T14" s="247"/>
      <c r="U14" s="247"/>
      <c r="V14" s="247"/>
    </row>
    <row r="15" spans="1:22" s="347" customFormat="1">
      <c r="A15" s="140" t="s">
        <v>132</v>
      </c>
      <c r="B15" s="180" t="s">
        <v>121</v>
      </c>
      <c r="C15" s="268">
        <v>1500</v>
      </c>
      <c r="D15" s="107">
        <v>1500</v>
      </c>
      <c r="E15" s="122"/>
      <c r="F15" s="122">
        <v>1500</v>
      </c>
      <c r="G15" s="122"/>
      <c r="H15" s="122"/>
      <c r="I15" s="122"/>
      <c r="J15" s="122"/>
      <c r="K15" s="136">
        <f t="shared" si="2"/>
        <v>1500</v>
      </c>
      <c r="L15" s="228">
        <f t="shared" si="1"/>
        <v>1500</v>
      </c>
      <c r="M15" s="370"/>
      <c r="N15" s="247"/>
      <c r="O15" s="370"/>
      <c r="P15" s="370"/>
      <c r="Q15" s="370"/>
      <c r="R15" s="370"/>
      <c r="S15" s="370"/>
      <c r="T15" s="370"/>
      <c r="U15" s="370"/>
      <c r="V15" s="370"/>
    </row>
    <row r="16" spans="1:22" s="347" customFormat="1">
      <c r="A16" s="140" t="s">
        <v>133</v>
      </c>
      <c r="B16" s="180" t="s">
        <v>119</v>
      </c>
      <c r="C16" s="268">
        <v>2800</v>
      </c>
      <c r="D16" s="107">
        <v>2800</v>
      </c>
      <c r="E16" s="122">
        <f>Summary!D10*'DOI Prog&amp;SLA Summary'!$D16</f>
        <v>493.00561464403518</v>
      </c>
      <c r="F16" s="122">
        <f>Summary!E10*'DOI Prog&amp;SLA Summary'!$D16</f>
        <v>1631.07533002738</v>
      </c>
      <c r="G16" s="122">
        <f>Summary!F10*'DOI Prog&amp;SLA Summary'!$D16</f>
        <v>301.33422565614194</v>
      </c>
      <c r="H16" s="122">
        <f>Summary!G10*'DOI Prog&amp;SLA Summary'!$D16</f>
        <v>374.58482967244277</v>
      </c>
      <c r="I16" s="122">
        <f>Summary!H10*'DOI Prog&amp;SLA Summary'!$D16</f>
        <v>0</v>
      </c>
      <c r="J16" s="122">
        <f>Summary!I10*'DOI Prog&amp;SLA Summary'!$D16</f>
        <v>0</v>
      </c>
      <c r="K16" s="136">
        <f t="shared" si="2"/>
        <v>2800</v>
      </c>
      <c r="L16" s="228">
        <f t="shared" si="1"/>
        <v>2800</v>
      </c>
      <c r="M16" s="370"/>
      <c r="N16" s="247"/>
      <c r="O16" s="370"/>
      <c r="P16" s="370"/>
      <c r="Q16" s="370"/>
      <c r="R16" s="370"/>
      <c r="S16" s="370"/>
      <c r="T16" s="370"/>
      <c r="U16" s="370"/>
      <c r="V16" s="370"/>
    </row>
    <row r="17" spans="1:16384" s="370" customFormat="1">
      <c r="A17" s="138" t="s">
        <v>134</v>
      </c>
      <c r="B17" s="117"/>
      <c r="C17" s="123">
        <f t="shared" ref="C17:L17" si="3">SUM(C3:C16)</f>
        <v>72172</v>
      </c>
      <c r="D17" s="139">
        <f t="shared" si="3"/>
        <v>69549.168600000005</v>
      </c>
      <c r="E17" s="123">
        <f t="shared" si="3"/>
        <v>22313.005614644037</v>
      </c>
      <c r="F17" s="123">
        <f t="shared" si="3"/>
        <v>31958.47693002738</v>
      </c>
      <c r="G17" s="123">
        <f t="shared" si="3"/>
        <v>515.33422565614194</v>
      </c>
      <c r="H17" s="123">
        <f t="shared" si="3"/>
        <v>6667.6848296724429</v>
      </c>
      <c r="I17" s="123">
        <f t="shared" si="3"/>
        <v>6645</v>
      </c>
      <c r="J17" s="123">
        <f t="shared" si="3"/>
        <v>1449.2449999999999</v>
      </c>
      <c r="K17" s="135">
        <f t="shared" si="3"/>
        <v>69548.746599999999</v>
      </c>
      <c r="L17" s="230">
        <f t="shared" si="3"/>
        <v>69548.746599999999</v>
      </c>
      <c r="N17" s="247"/>
      <c r="O17" s="247"/>
      <c r="P17" s="247"/>
      <c r="Q17" s="247"/>
      <c r="R17" s="247"/>
      <c r="S17" s="247"/>
      <c r="T17" s="247"/>
      <c r="U17" s="247"/>
      <c r="V17" s="247"/>
    </row>
    <row r="18" spans="1:16384" s="149" customFormat="1">
      <c r="A18" s="224" t="s">
        <v>135</v>
      </c>
      <c r="B18" s="225"/>
      <c r="C18" s="226"/>
      <c r="D18" s="227"/>
      <c r="E18" s="226">
        <f t="shared" ref="E18:J18" si="4">(E17*-$M$2)+E17</f>
        <v>22313.005614644037</v>
      </c>
      <c r="F18" s="226">
        <f t="shared" si="4"/>
        <v>31958.47693002738</v>
      </c>
      <c r="G18" s="226">
        <f t="shared" si="4"/>
        <v>515.33422565614194</v>
      </c>
      <c r="H18" s="226">
        <f t="shared" si="4"/>
        <v>6667.6848296724429</v>
      </c>
      <c r="I18" s="226">
        <f t="shared" si="4"/>
        <v>6645</v>
      </c>
      <c r="J18" s="226">
        <f t="shared" si="4"/>
        <v>1449.2449999999999</v>
      </c>
      <c r="K18" s="496">
        <f>SUM(E18:J18)</f>
        <v>69548.746599999999</v>
      </c>
      <c r="L18" s="226"/>
      <c r="M18" s="387"/>
      <c r="N18" s="247" t="s">
        <v>1529</v>
      </c>
      <c r="O18" s="247"/>
      <c r="P18" s="281">
        <f>+'LLC Support'!F40+'Med Standards Ops'!F34+'Physical &amp; Mental Health Ops'!F50+FIRES!F45+'Med Standards Exams'!F39+CAD!F44+FIRENET!F41+INFORM!F44+IrWIN!F44+WFDSS!F39+144+185</f>
        <v>5703</v>
      </c>
      <c r="Q18" s="247"/>
      <c r="R18" s="247"/>
      <c r="S18" s="247"/>
      <c r="T18" s="247"/>
      <c r="U18" s="247"/>
      <c r="V18" s="247"/>
      <c r="W18" s="389"/>
      <c r="X18" s="389"/>
      <c r="Y18" s="387"/>
      <c r="Z18" s="180"/>
      <c r="AA18" s="389"/>
      <c r="AB18" s="389"/>
      <c r="AC18" s="389"/>
      <c r="AD18" s="389"/>
      <c r="AE18" s="389"/>
      <c r="AF18" s="389"/>
      <c r="AG18" s="389"/>
      <c r="AH18" s="389"/>
      <c r="AI18" s="389"/>
      <c r="AJ18" s="226"/>
      <c r="AK18" s="224"/>
      <c r="AL18" s="225"/>
      <c r="AM18" s="226"/>
      <c r="AN18" s="227"/>
      <c r="AO18" s="228"/>
      <c r="AP18" s="228"/>
      <c r="AQ18" s="228"/>
      <c r="AR18" s="228"/>
      <c r="AS18" s="228"/>
      <c r="AT18" s="228"/>
      <c r="AU18" s="226"/>
      <c r="AV18" s="226"/>
      <c r="AW18" s="224"/>
      <c r="AX18" s="225"/>
      <c r="AY18" s="226"/>
      <c r="AZ18" s="227"/>
      <c r="BA18" s="228"/>
      <c r="BB18" s="228"/>
      <c r="BC18" s="228"/>
      <c r="BD18" s="228"/>
      <c r="BE18" s="228"/>
      <c r="BF18" s="228"/>
      <c r="BG18" s="226"/>
      <c r="BH18" s="226"/>
      <c r="BI18" s="224"/>
      <c r="BJ18" s="225"/>
      <c r="BK18" s="226"/>
      <c r="BL18" s="227"/>
      <c r="BM18" s="228"/>
      <c r="BN18" s="228"/>
      <c r="BO18" s="228"/>
      <c r="BP18" s="228"/>
      <c r="BQ18" s="228"/>
      <c r="BR18" s="228"/>
      <c r="BS18" s="226"/>
      <c r="BT18" s="226"/>
      <c r="BU18" s="224"/>
      <c r="BV18" s="225"/>
      <c r="BW18" s="226"/>
      <c r="BX18" s="227"/>
      <c r="BY18" s="228"/>
      <c r="BZ18" s="228"/>
      <c r="CA18" s="228"/>
      <c r="CB18" s="228"/>
      <c r="CC18" s="228"/>
      <c r="CD18" s="228"/>
      <c r="CE18" s="226"/>
      <c r="CF18" s="226"/>
      <c r="CG18" s="224"/>
      <c r="CH18" s="225"/>
      <c r="CI18" s="226"/>
      <c r="CJ18" s="227"/>
      <c r="CK18" s="228"/>
      <c r="CL18" s="228"/>
      <c r="CM18" s="228"/>
      <c r="CN18" s="228"/>
      <c r="CO18" s="228"/>
      <c r="CP18" s="228"/>
      <c r="CQ18" s="226"/>
      <c r="CR18" s="226"/>
      <c r="CS18" s="224"/>
      <c r="CT18" s="225"/>
      <c r="CU18" s="226"/>
      <c r="CV18" s="227"/>
      <c r="CW18" s="228"/>
      <c r="CX18" s="228"/>
      <c r="CY18" s="228"/>
      <c r="CZ18" s="228"/>
      <c r="DA18" s="228"/>
      <c r="DB18" s="228"/>
      <c r="DC18" s="226"/>
      <c r="DD18" s="226"/>
      <c r="DE18" s="224"/>
      <c r="DF18" s="225"/>
      <c r="DG18" s="226"/>
      <c r="DH18" s="227"/>
      <c r="DI18" s="228"/>
      <c r="DJ18" s="228"/>
      <c r="DK18" s="228"/>
      <c r="DL18" s="228"/>
      <c r="DM18" s="228"/>
      <c r="DN18" s="228"/>
      <c r="DO18" s="226"/>
      <c r="DP18" s="226"/>
      <c r="DQ18" s="224"/>
      <c r="DR18" s="225"/>
      <c r="DS18" s="226"/>
      <c r="DT18" s="227"/>
      <c r="DU18" s="228"/>
      <c r="DV18" s="228"/>
      <c r="DW18" s="228"/>
      <c r="DX18" s="228"/>
      <c r="DY18" s="228"/>
      <c r="DZ18" s="228"/>
      <c r="EA18" s="226"/>
      <c r="EB18" s="226"/>
      <c r="EC18" s="224"/>
      <c r="ED18" s="225"/>
      <c r="EE18" s="226"/>
      <c r="EF18" s="227"/>
      <c r="EG18" s="228"/>
      <c r="EH18" s="228"/>
      <c r="EI18" s="228"/>
      <c r="EJ18" s="228"/>
      <c r="EK18" s="228"/>
      <c r="EL18" s="228"/>
      <c r="EM18" s="226"/>
      <c r="EN18" s="226"/>
      <c r="EO18" s="224"/>
      <c r="EP18" s="225"/>
      <c r="EQ18" s="226"/>
      <c r="ER18" s="227"/>
      <c r="ES18" s="228"/>
      <c r="ET18" s="228"/>
      <c r="EU18" s="228"/>
      <c r="EV18" s="228"/>
      <c r="EW18" s="228"/>
      <c r="EX18" s="228"/>
      <c r="EY18" s="226"/>
      <c r="EZ18" s="226"/>
      <c r="FA18" s="224"/>
      <c r="FB18" s="225"/>
      <c r="FC18" s="226"/>
      <c r="FD18" s="227"/>
      <c r="FE18" s="228"/>
      <c r="FF18" s="228"/>
      <c r="FG18" s="228"/>
      <c r="FH18" s="228"/>
      <c r="FI18" s="228"/>
      <c r="FJ18" s="228"/>
      <c r="FK18" s="226"/>
      <c r="FL18" s="226"/>
      <c r="FM18" s="224"/>
      <c r="FN18" s="225"/>
      <c r="FO18" s="226"/>
      <c r="FP18" s="227"/>
      <c r="FQ18" s="228"/>
      <c r="FR18" s="228"/>
      <c r="FS18" s="228"/>
      <c r="FT18" s="228"/>
      <c r="FU18" s="228"/>
      <c r="FV18" s="228"/>
      <c r="FW18" s="226"/>
      <c r="FX18" s="226"/>
      <c r="FY18" s="224"/>
      <c r="FZ18" s="225"/>
      <c r="GA18" s="226"/>
      <c r="GB18" s="227"/>
      <c r="GC18" s="228"/>
      <c r="GD18" s="228"/>
      <c r="GE18" s="228"/>
      <c r="GF18" s="228"/>
      <c r="GG18" s="228"/>
      <c r="GH18" s="228"/>
      <c r="GI18" s="226"/>
      <c r="GJ18" s="226"/>
      <c r="GK18" s="224"/>
      <c r="GL18" s="225"/>
      <c r="GM18" s="226"/>
      <c r="GN18" s="227"/>
      <c r="GO18" s="228"/>
      <c r="GP18" s="228"/>
      <c r="GQ18" s="228"/>
      <c r="GR18" s="228"/>
      <c r="GS18" s="228"/>
      <c r="GT18" s="228"/>
      <c r="GU18" s="226"/>
      <c r="GV18" s="226"/>
      <c r="GW18" s="224"/>
      <c r="GX18" s="225"/>
      <c r="GY18" s="226"/>
      <c r="GZ18" s="227"/>
      <c r="HA18" s="228"/>
      <c r="HB18" s="228"/>
      <c r="HC18" s="228"/>
      <c r="HD18" s="228"/>
      <c r="HE18" s="228"/>
      <c r="HF18" s="228"/>
      <c r="HG18" s="226"/>
      <c r="HH18" s="226"/>
      <c r="HI18" s="224"/>
      <c r="HJ18" s="225"/>
      <c r="HK18" s="226"/>
      <c r="HL18" s="227"/>
      <c r="HM18" s="228"/>
      <c r="HN18" s="228"/>
      <c r="HO18" s="228"/>
      <c r="HP18" s="228"/>
      <c r="HQ18" s="228"/>
      <c r="HR18" s="228"/>
      <c r="HS18" s="226"/>
      <c r="HT18" s="226"/>
      <c r="HU18" s="224"/>
      <c r="HV18" s="225"/>
      <c r="HW18" s="226"/>
      <c r="HX18" s="227"/>
      <c r="HY18" s="228"/>
      <c r="HZ18" s="228"/>
      <c r="IA18" s="228"/>
      <c r="IB18" s="228"/>
      <c r="IC18" s="228"/>
      <c r="ID18" s="228"/>
      <c r="IE18" s="226"/>
      <c r="IF18" s="226"/>
      <c r="IG18" s="224"/>
      <c r="IH18" s="225"/>
      <c r="II18" s="226"/>
      <c r="IJ18" s="227"/>
      <c r="IK18" s="228"/>
      <c r="IL18" s="228"/>
      <c r="IM18" s="228"/>
      <c r="IN18" s="228"/>
      <c r="IO18" s="228"/>
      <c r="IP18" s="228"/>
      <c r="IQ18" s="226"/>
      <c r="IR18" s="226"/>
      <c r="IS18" s="224"/>
      <c r="IT18" s="225"/>
      <c r="IU18" s="226"/>
      <c r="IV18" s="227"/>
      <c r="IW18" s="228"/>
      <c r="IX18" s="228"/>
      <c r="IY18" s="228"/>
      <c r="IZ18" s="228"/>
      <c r="JA18" s="228"/>
      <c r="JB18" s="228"/>
      <c r="JC18" s="226"/>
      <c r="JD18" s="226"/>
      <c r="JE18" s="224"/>
      <c r="JF18" s="225"/>
      <c r="JG18" s="226"/>
      <c r="JH18" s="227"/>
      <c r="JI18" s="228"/>
      <c r="JJ18" s="228"/>
      <c r="JK18" s="228"/>
      <c r="JL18" s="228"/>
      <c r="JM18" s="228"/>
      <c r="JN18" s="228"/>
      <c r="JO18" s="226"/>
      <c r="JP18" s="226"/>
      <c r="JQ18" s="224"/>
      <c r="JR18" s="225"/>
      <c r="JS18" s="226"/>
      <c r="JT18" s="227"/>
      <c r="JU18" s="228"/>
      <c r="JV18" s="228"/>
      <c r="JW18" s="228"/>
      <c r="JX18" s="228"/>
      <c r="JY18" s="228"/>
      <c r="JZ18" s="228"/>
      <c r="KA18" s="226"/>
      <c r="KB18" s="226"/>
      <c r="KC18" s="224"/>
      <c r="KD18" s="225"/>
      <c r="KE18" s="226"/>
      <c r="KF18" s="227"/>
      <c r="KG18" s="228"/>
      <c r="KH18" s="228"/>
      <c r="KI18" s="228"/>
      <c r="KJ18" s="228"/>
      <c r="KK18" s="228"/>
      <c r="KL18" s="228"/>
      <c r="KM18" s="226"/>
      <c r="KN18" s="226"/>
      <c r="KO18" s="224"/>
      <c r="KP18" s="225"/>
      <c r="KQ18" s="226"/>
      <c r="KR18" s="227"/>
      <c r="KS18" s="228"/>
      <c r="KT18" s="228"/>
      <c r="KU18" s="228"/>
      <c r="KV18" s="228"/>
      <c r="KW18" s="228"/>
      <c r="KX18" s="228"/>
      <c r="KY18" s="226"/>
      <c r="KZ18" s="226"/>
      <c r="LA18" s="224"/>
      <c r="LB18" s="225"/>
      <c r="LC18" s="226"/>
      <c r="LD18" s="227"/>
      <c r="LE18" s="228"/>
      <c r="LF18" s="228"/>
      <c r="LG18" s="228"/>
      <c r="LH18" s="228"/>
      <c r="LI18" s="228"/>
      <c r="LJ18" s="228"/>
      <c r="LK18" s="226"/>
      <c r="LL18" s="226"/>
      <c r="LM18" s="224"/>
      <c r="LN18" s="225"/>
      <c r="LO18" s="226"/>
      <c r="LP18" s="227"/>
      <c r="LQ18" s="228"/>
      <c r="LR18" s="228"/>
      <c r="LS18" s="228"/>
      <c r="LT18" s="228"/>
      <c r="LU18" s="228"/>
      <c r="LV18" s="228"/>
      <c r="LW18" s="226"/>
      <c r="LX18" s="226"/>
      <c r="LY18" s="224"/>
      <c r="LZ18" s="225"/>
      <c r="MA18" s="226"/>
      <c r="MB18" s="227"/>
      <c r="MC18" s="228"/>
      <c r="MD18" s="228"/>
      <c r="ME18" s="228"/>
      <c r="MF18" s="228"/>
      <c r="MG18" s="228"/>
      <c r="MH18" s="228"/>
      <c r="MI18" s="226"/>
      <c r="MJ18" s="226"/>
      <c r="MK18" s="224"/>
      <c r="ML18" s="225"/>
      <c r="MM18" s="226"/>
      <c r="MN18" s="227"/>
      <c r="MO18" s="228"/>
      <c r="MP18" s="228"/>
      <c r="MQ18" s="228"/>
      <c r="MR18" s="228"/>
      <c r="MS18" s="228"/>
      <c r="MT18" s="228"/>
      <c r="MU18" s="226"/>
      <c r="MV18" s="226"/>
      <c r="MW18" s="224"/>
      <c r="MX18" s="225"/>
      <c r="MY18" s="226"/>
      <c r="MZ18" s="227"/>
      <c r="NA18" s="228"/>
      <c r="NB18" s="228"/>
      <c r="NC18" s="228"/>
      <c r="ND18" s="228"/>
      <c r="NE18" s="228"/>
      <c r="NF18" s="228"/>
      <c r="NG18" s="226"/>
      <c r="NH18" s="226"/>
      <c r="NI18" s="224"/>
      <c r="NJ18" s="225"/>
      <c r="NK18" s="226"/>
      <c r="NL18" s="227"/>
      <c r="NM18" s="228"/>
      <c r="NN18" s="228"/>
      <c r="NO18" s="228"/>
      <c r="NP18" s="228"/>
      <c r="NQ18" s="228"/>
      <c r="NR18" s="228"/>
      <c r="NS18" s="226"/>
      <c r="NT18" s="226"/>
      <c r="NU18" s="224"/>
      <c r="NV18" s="225"/>
      <c r="NW18" s="226"/>
      <c r="NX18" s="227"/>
      <c r="NY18" s="228"/>
      <c r="NZ18" s="228"/>
      <c r="OA18" s="228"/>
      <c r="OB18" s="228"/>
      <c r="OC18" s="228"/>
      <c r="OD18" s="228"/>
      <c r="OE18" s="226"/>
      <c r="OF18" s="226"/>
      <c r="OG18" s="224"/>
      <c r="OH18" s="225"/>
      <c r="OI18" s="226"/>
      <c r="OJ18" s="227"/>
      <c r="OK18" s="228"/>
      <c r="OL18" s="228"/>
      <c r="OM18" s="228"/>
      <c r="ON18" s="228"/>
      <c r="OO18" s="228"/>
      <c r="OP18" s="228"/>
      <c r="OQ18" s="226"/>
      <c r="OR18" s="226"/>
      <c r="OS18" s="224"/>
      <c r="OT18" s="225"/>
      <c r="OU18" s="226"/>
      <c r="OV18" s="227"/>
      <c r="OW18" s="228"/>
      <c r="OX18" s="228"/>
      <c r="OY18" s="228"/>
      <c r="OZ18" s="228"/>
      <c r="PA18" s="228"/>
      <c r="PB18" s="228"/>
      <c r="PC18" s="226"/>
      <c r="PD18" s="226"/>
      <c r="PE18" s="224"/>
      <c r="PF18" s="225"/>
      <c r="PG18" s="226"/>
      <c r="PH18" s="227"/>
      <c r="PI18" s="228"/>
      <c r="PJ18" s="228"/>
      <c r="PK18" s="228"/>
      <c r="PL18" s="228"/>
      <c r="PM18" s="228"/>
      <c r="PN18" s="228"/>
      <c r="PO18" s="226"/>
      <c r="PP18" s="226"/>
      <c r="PQ18" s="224"/>
      <c r="PR18" s="225"/>
      <c r="PS18" s="226"/>
      <c r="PT18" s="227"/>
      <c r="PU18" s="228"/>
      <c r="PV18" s="228"/>
      <c r="PW18" s="228"/>
      <c r="PX18" s="228"/>
      <c r="PY18" s="228"/>
      <c r="PZ18" s="228"/>
      <c r="QA18" s="226"/>
      <c r="QB18" s="226"/>
      <c r="QC18" s="224"/>
      <c r="QD18" s="225"/>
      <c r="QE18" s="226"/>
      <c r="QF18" s="227"/>
      <c r="QG18" s="228"/>
      <c r="QH18" s="228"/>
      <c r="QI18" s="228"/>
      <c r="QJ18" s="228"/>
      <c r="QK18" s="228"/>
      <c r="QL18" s="228"/>
      <c r="QM18" s="226"/>
      <c r="QN18" s="226"/>
      <c r="QO18" s="224"/>
      <c r="QP18" s="225"/>
      <c r="QQ18" s="226"/>
      <c r="QR18" s="227"/>
      <c r="QS18" s="228"/>
      <c r="QT18" s="228"/>
      <c r="QU18" s="228"/>
      <c r="QV18" s="228"/>
      <c r="QW18" s="228"/>
      <c r="QX18" s="228"/>
      <c r="QY18" s="226"/>
      <c r="QZ18" s="226"/>
      <c r="RA18" s="224"/>
      <c r="RB18" s="225"/>
      <c r="RC18" s="226"/>
      <c r="RD18" s="227"/>
      <c r="RE18" s="228"/>
      <c r="RF18" s="228"/>
      <c r="RG18" s="228"/>
      <c r="RH18" s="228"/>
      <c r="RI18" s="228"/>
      <c r="RJ18" s="228"/>
      <c r="RK18" s="226"/>
      <c r="RL18" s="226"/>
      <c r="RM18" s="224"/>
      <c r="RN18" s="225"/>
      <c r="RO18" s="226"/>
      <c r="RP18" s="227"/>
      <c r="RQ18" s="228"/>
      <c r="RR18" s="228"/>
      <c r="RS18" s="228"/>
      <c r="RT18" s="228"/>
      <c r="RU18" s="228"/>
      <c r="RV18" s="228"/>
      <c r="RW18" s="226"/>
      <c r="RX18" s="226"/>
      <c r="RY18" s="224"/>
      <c r="RZ18" s="225"/>
      <c r="SA18" s="226"/>
      <c r="SB18" s="227"/>
      <c r="SC18" s="228"/>
      <c r="SD18" s="228"/>
      <c r="SE18" s="228"/>
      <c r="SF18" s="228"/>
      <c r="SG18" s="228"/>
      <c r="SH18" s="228"/>
      <c r="SI18" s="226"/>
      <c r="SJ18" s="226"/>
      <c r="SK18" s="224"/>
      <c r="SL18" s="225"/>
      <c r="SM18" s="226"/>
      <c r="SN18" s="227"/>
      <c r="SO18" s="228"/>
      <c r="SP18" s="228"/>
      <c r="SQ18" s="228"/>
      <c r="SR18" s="228"/>
      <c r="SS18" s="228"/>
      <c r="ST18" s="228"/>
      <c r="SU18" s="226"/>
      <c r="SV18" s="226"/>
      <c r="SW18" s="224"/>
      <c r="SX18" s="225"/>
      <c r="SY18" s="226"/>
      <c r="SZ18" s="227"/>
      <c r="TA18" s="228"/>
      <c r="TB18" s="228"/>
      <c r="TC18" s="228"/>
      <c r="TD18" s="228"/>
      <c r="TE18" s="228"/>
      <c r="TF18" s="228"/>
      <c r="TG18" s="226"/>
      <c r="TH18" s="226"/>
      <c r="TI18" s="224"/>
      <c r="TJ18" s="225"/>
      <c r="TK18" s="226"/>
      <c r="TL18" s="227"/>
      <c r="TM18" s="228"/>
      <c r="TN18" s="228"/>
      <c r="TO18" s="228"/>
      <c r="TP18" s="228"/>
      <c r="TQ18" s="228"/>
      <c r="TR18" s="228"/>
      <c r="TS18" s="226"/>
      <c r="TT18" s="226"/>
      <c r="TU18" s="224"/>
      <c r="TV18" s="225"/>
      <c r="TW18" s="226"/>
      <c r="TX18" s="227"/>
      <c r="TY18" s="228"/>
      <c r="TZ18" s="228"/>
      <c r="UA18" s="228"/>
      <c r="UB18" s="228"/>
      <c r="UC18" s="228"/>
      <c r="UD18" s="228"/>
      <c r="UE18" s="226"/>
      <c r="UF18" s="226"/>
      <c r="UG18" s="224"/>
      <c r="UH18" s="225"/>
      <c r="UI18" s="226"/>
      <c r="UJ18" s="227"/>
      <c r="UK18" s="228"/>
      <c r="UL18" s="228"/>
      <c r="UM18" s="228"/>
      <c r="UN18" s="228"/>
      <c r="UO18" s="228"/>
      <c r="UP18" s="228"/>
      <c r="UQ18" s="226"/>
      <c r="UR18" s="226"/>
      <c r="US18" s="224"/>
      <c r="UT18" s="225"/>
      <c r="UU18" s="226"/>
      <c r="UV18" s="227"/>
      <c r="UW18" s="228"/>
      <c r="UX18" s="228"/>
      <c r="UY18" s="228"/>
      <c r="UZ18" s="228"/>
      <c r="VA18" s="228"/>
      <c r="VB18" s="228"/>
      <c r="VC18" s="226"/>
      <c r="VD18" s="226"/>
      <c r="VE18" s="224"/>
      <c r="VF18" s="225"/>
      <c r="VG18" s="226"/>
      <c r="VH18" s="227"/>
      <c r="VI18" s="228"/>
      <c r="VJ18" s="228"/>
      <c r="VK18" s="228"/>
      <c r="VL18" s="228"/>
      <c r="VM18" s="228"/>
      <c r="VN18" s="228"/>
      <c r="VO18" s="226"/>
      <c r="VP18" s="226"/>
      <c r="VQ18" s="224"/>
      <c r="VR18" s="225"/>
      <c r="VS18" s="226"/>
      <c r="VT18" s="227"/>
      <c r="VU18" s="228"/>
      <c r="VV18" s="228"/>
      <c r="VW18" s="228"/>
      <c r="VX18" s="228"/>
      <c r="VY18" s="228"/>
      <c r="VZ18" s="228"/>
      <c r="WA18" s="226"/>
      <c r="WB18" s="226"/>
      <c r="WC18" s="224"/>
      <c r="WD18" s="225"/>
      <c r="WE18" s="226"/>
      <c r="WF18" s="227"/>
      <c r="WG18" s="228"/>
      <c r="WH18" s="228"/>
      <c r="WI18" s="228"/>
      <c r="WJ18" s="228"/>
      <c r="WK18" s="228"/>
      <c r="WL18" s="228"/>
      <c r="WM18" s="226"/>
      <c r="WN18" s="226"/>
      <c r="WO18" s="224"/>
      <c r="WP18" s="225"/>
      <c r="WQ18" s="226"/>
      <c r="WR18" s="227"/>
      <c r="WS18" s="228"/>
      <c r="WT18" s="228"/>
      <c r="WU18" s="228"/>
      <c r="WV18" s="228"/>
      <c r="WW18" s="228"/>
      <c r="WX18" s="228"/>
      <c r="WY18" s="226"/>
      <c r="WZ18" s="226"/>
      <c r="XA18" s="224"/>
      <c r="XB18" s="225"/>
      <c r="XC18" s="226"/>
      <c r="XD18" s="227"/>
      <c r="XE18" s="228"/>
      <c r="XF18" s="228"/>
      <c r="XG18" s="228"/>
      <c r="XH18" s="228"/>
      <c r="XI18" s="228"/>
      <c r="XJ18" s="228"/>
      <c r="XK18" s="226"/>
      <c r="XL18" s="226"/>
      <c r="XM18" s="224"/>
      <c r="XN18" s="225"/>
      <c r="XO18" s="226"/>
      <c r="XP18" s="227"/>
      <c r="XQ18" s="228"/>
      <c r="XR18" s="228"/>
      <c r="XS18" s="228"/>
      <c r="XT18" s="228"/>
      <c r="XU18" s="228"/>
      <c r="XV18" s="228"/>
      <c r="XW18" s="226"/>
      <c r="XX18" s="226"/>
      <c r="XY18" s="224"/>
      <c r="XZ18" s="225"/>
      <c r="YA18" s="226"/>
      <c r="YB18" s="227"/>
      <c r="YC18" s="228"/>
      <c r="YD18" s="228"/>
      <c r="YE18" s="228"/>
      <c r="YF18" s="228"/>
      <c r="YG18" s="228"/>
      <c r="YH18" s="228"/>
      <c r="YI18" s="226"/>
      <c r="YJ18" s="226"/>
      <c r="YK18" s="224"/>
      <c r="YL18" s="225"/>
      <c r="YM18" s="226"/>
      <c r="YN18" s="227"/>
      <c r="YO18" s="228"/>
      <c r="YP18" s="228"/>
      <c r="YQ18" s="228"/>
      <c r="YR18" s="228"/>
      <c r="YS18" s="228"/>
      <c r="YT18" s="228"/>
      <c r="YU18" s="226"/>
      <c r="YV18" s="226"/>
      <c r="YW18" s="224"/>
      <c r="YX18" s="225"/>
      <c r="YY18" s="226"/>
      <c r="YZ18" s="227"/>
      <c r="ZA18" s="228"/>
      <c r="ZB18" s="228"/>
      <c r="ZC18" s="228"/>
      <c r="ZD18" s="228"/>
      <c r="ZE18" s="228"/>
      <c r="ZF18" s="228"/>
      <c r="ZG18" s="226"/>
      <c r="ZH18" s="226"/>
      <c r="ZI18" s="224"/>
      <c r="ZJ18" s="225"/>
      <c r="ZK18" s="226"/>
      <c r="ZL18" s="227"/>
      <c r="ZM18" s="228"/>
      <c r="ZN18" s="228"/>
      <c r="ZO18" s="228"/>
      <c r="ZP18" s="228"/>
      <c r="ZQ18" s="228"/>
      <c r="ZR18" s="228"/>
      <c r="ZS18" s="226"/>
      <c r="ZT18" s="226"/>
      <c r="ZU18" s="224"/>
      <c r="ZV18" s="225"/>
      <c r="ZW18" s="226"/>
      <c r="ZX18" s="227"/>
      <c r="ZY18" s="228"/>
      <c r="ZZ18" s="228"/>
      <c r="AAA18" s="228"/>
      <c r="AAB18" s="228"/>
      <c r="AAC18" s="228"/>
      <c r="AAD18" s="228"/>
      <c r="AAE18" s="226"/>
      <c r="AAF18" s="226"/>
      <c r="AAG18" s="224"/>
      <c r="AAH18" s="225"/>
      <c r="AAI18" s="226"/>
      <c r="AAJ18" s="227"/>
      <c r="AAK18" s="228"/>
      <c r="AAL18" s="228"/>
      <c r="AAM18" s="228"/>
      <c r="AAN18" s="228"/>
      <c r="AAO18" s="228"/>
      <c r="AAP18" s="228"/>
      <c r="AAQ18" s="226"/>
      <c r="AAR18" s="226"/>
      <c r="AAS18" s="224"/>
      <c r="AAT18" s="225"/>
      <c r="AAU18" s="226"/>
      <c r="AAV18" s="227"/>
      <c r="AAW18" s="228"/>
      <c r="AAX18" s="228"/>
      <c r="AAY18" s="228"/>
      <c r="AAZ18" s="228"/>
      <c r="ABA18" s="228"/>
      <c r="ABB18" s="228"/>
      <c r="ABC18" s="226"/>
      <c r="ABD18" s="226"/>
      <c r="ABE18" s="224"/>
      <c r="ABF18" s="225"/>
      <c r="ABG18" s="226"/>
      <c r="ABH18" s="227"/>
      <c r="ABI18" s="228"/>
      <c r="ABJ18" s="228"/>
      <c r="ABK18" s="228"/>
      <c r="ABL18" s="228"/>
      <c r="ABM18" s="228"/>
      <c r="ABN18" s="228"/>
      <c r="ABO18" s="226"/>
      <c r="ABP18" s="226"/>
      <c r="ABQ18" s="224"/>
      <c r="ABR18" s="225"/>
      <c r="ABS18" s="226"/>
      <c r="ABT18" s="227"/>
      <c r="ABU18" s="228"/>
      <c r="ABV18" s="228"/>
      <c r="ABW18" s="228"/>
      <c r="ABX18" s="228"/>
      <c r="ABY18" s="228"/>
      <c r="ABZ18" s="228"/>
      <c r="ACA18" s="226"/>
      <c r="ACB18" s="226"/>
      <c r="ACC18" s="224"/>
      <c r="ACD18" s="225"/>
      <c r="ACE18" s="226"/>
      <c r="ACF18" s="227"/>
      <c r="ACG18" s="228"/>
      <c r="ACH18" s="228"/>
      <c r="ACI18" s="228"/>
      <c r="ACJ18" s="228"/>
      <c r="ACK18" s="228"/>
      <c r="ACL18" s="228"/>
      <c r="ACM18" s="226"/>
      <c r="ACN18" s="226"/>
      <c r="ACO18" s="224"/>
      <c r="ACP18" s="225"/>
      <c r="ACQ18" s="226"/>
      <c r="ACR18" s="227"/>
      <c r="ACS18" s="228"/>
      <c r="ACT18" s="228"/>
      <c r="ACU18" s="228"/>
      <c r="ACV18" s="228"/>
      <c r="ACW18" s="228"/>
      <c r="ACX18" s="228"/>
      <c r="ACY18" s="226"/>
      <c r="ACZ18" s="226"/>
      <c r="ADA18" s="224"/>
      <c r="ADB18" s="225"/>
      <c r="ADC18" s="226"/>
      <c r="ADD18" s="227"/>
      <c r="ADE18" s="228"/>
      <c r="ADF18" s="228"/>
      <c r="ADG18" s="228"/>
      <c r="ADH18" s="228"/>
      <c r="ADI18" s="228"/>
      <c r="ADJ18" s="228"/>
      <c r="ADK18" s="226"/>
      <c r="ADL18" s="226"/>
      <c r="ADM18" s="224"/>
      <c r="ADN18" s="225"/>
      <c r="ADO18" s="226"/>
      <c r="ADP18" s="227"/>
      <c r="ADQ18" s="228"/>
      <c r="ADR18" s="228"/>
      <c r="ADS18" s="228"/>
      <c r="ADT18" s="228"/>
      <c r="ADU18" s="228"/>
      <c r="ADV18" s="228"/>
      <c r="ADW18" s="226"/>
      <c r="ADX18" s="226"/>
      <c r="ADY18" s="224"/>
      <c r="ADZ18" s="225"/>
      <c r="AEA18" s="226"/>
      <c r="AEB18" s="227"/>
      <c r="AEC18" s="228"/>
      <c r="AED18" s="228"/>
      <c r="AEE18" s="228"/>
      <c r="AEF18" s="228"/>
      <c r="AEG18" s="228"/>
      <c r="AEH18" s="228"/>
      <c r="AEI18" s="226"/>
      <c r="AEJ18" s="226"/>
      <c r="AEK18" s="224"/>
      <c r="AEL18" s="225"/>
      <c r="AEM18" s="226"/>
      <c r="AEN18" s="227"/>
      <c r="AEO18" s="228"/>
      <c r="AEP18" s="228"/>
      <c r="AEQ18" s="228"/>
      <c r="AER18" s="228"/>
      <c r="AES18" s="228"/>
      <c r="AET18" s="228"/>
      <c r="AEU18" s="226"/>
      <c r="AEV18" s="226"/>
      <c r="AEW18" s="224"/>
      <c r="AEX18" s="225"/>
      <c r="AEY18" s="226"/>
      <c r="AEZ18" s="227"/>
      <c r="AFA18" s="228"/>
      <c r="AFB18" s="228"/>
      <c r="AFC18" s="228"/>
      <c r="AFD18" s="228"/>
      <c r="AFE18" s="228"/>
      <c r="AFF18" s="228"/>
      <c r="AFG18" s="226"/>
      <c r="AFH18" s="226"/>
      <c r="AFI18" s="224"/>
      <c r="AFJ18" s="225"/>
      <c r="AFK18" s="226"/>
      <c r="AFL18" s="227"/>
      <c r="AFM18" s="228"/>
      <c r="AFN18" s="228"/>
      <c r="AFO18" s="228"/>
      <c r="AFP18" s="228"/>
      <c r="AFQ18" s="228"/>
      <c r="AFR18" s="228"/>
      <c r="AFS18" s="226"/>
      <c r="AFT18" s="226"/>
      <c r="AFU18" s="224"/>
      <c r="AFV18" s="225"/>
      <c r="AFW18" s="226"/>
      <c r="AFX18" s="227"/>
      <c r="AFY18" s="228"/>
      <c r="AFZ18" s="228"/>
      <c r="AGA18" s="228"/>
      <c r="AGB18" s="228"/>
      <c r="AGC18" s="228"/>
      <c r="AGD18" s="228"/>
      <c r="AGE18" s="226"/>
      <c r="AGF18" s="226"/>
      <c r="AGG18" s="224"/>
      <c r="AGH18" s="225"/>
      <c r="AGI18" s="226"/>
      <c r="AGJ18" s="227"/>
      <c r="AGK18" s="228"/>
      <c r="AGL18" s="228"/>
      <c r="AGM18" s="228"/>
      <c r="AGN18" s="228"/>
      <c r="AGO18" s="228"/>
      <c r="AGP18" s="228"/>
      <c r="AGQ18" s="226"/>
      <c r="AGR18" s="226"/>
      <c r="AGS18" s="224"/>
      <c r="AGT18" s="225"/>
      <c r="AGU18" s="226"/>
      <c r="AGV18" s="227"/>
      <c r="AGW18" s="228"/>
      <c r="AGX18" s="228"/>
      <c r="AGY18" s="228"/>
      <c r="AGZ18" s="228"/>
      <c r="AHA18" s="228"/>
      <c r="AHB18" s="228"/>
      <c r="AHC18" s="226"/>
      <c r="AHD18" s="226"/>
      <c r="AHE18" s="224"/>
      <c r="AHF18" s="225"/>
      <c r="AHG18" s="226"/>
      <c r="AHH18" s="227"/>
      <c r="AHI18" s="228"/>
      <c r="AHJ18" s="228"/>
      <c r="AHK18" s="228"/>
      <c r="AHL18" s="228"/>
      <c r="AHM18" s="228"/>
      <c r="AHN18" s="228"/>
      <c r="AHO18" s="226"/>
      <c r="AHP18" s="226"/>
      <c r="AHQ18" s="224"/>
      <c r="AHR18" s="225"/>
      <c r="AHS18" s="226"/>
      <c r="AHT18" s="227"/>
      <c r="AHU18" s="228"/>
      <c r="AHV18" s="228"/>
      <c r="AHW18" s="228"/>
      <c r="AHX18" s="228"/>
      <c r="AHY18" s="228"/>
      <c r="AHZ18" s="228"/>
      <c r="AIA18" s="226"/>
      <c r="AIB18" s="226"/>
      <c r="AIC18" s="224"/>
      <c r="AID18" s="225"/>
      <c r="AIE18" s="226"/>
      <c r="AIF18" s="227"/>
      <c r="AIG18" s="228"/>
      <c r="AIH18" s="228"/>
      <c r="AII18" s="228"/>
      <c r="AIJ18" s="228"/>
      <c r="AIK18" s="228"/>
      <c r="AIL18" s="228"/>
      <c r="AIM18" s="226"/>
      <c r="AIN18" s="226"/>
      <c r="AIO18" s="224"/>
      <c r="AIP18" s="225"/>
      <c r="AIQ18" s="226"/>
      <c r="AIR18" s="227"/>
      <c r="AIS18" s="228"/>
      <c r="AIT18" s="228"/>
      <c r="AIU18" s="228"/>
      <c r="AIV18" s="228"/>
      <c r="AIW18" s="228"/>
      <c r="AIX18" s="228"/>
      <c r="AIY18" s="226"/>
      <c r="AIZ18" s="226"/>
      <c r="AJA18" s="224"/>
      <c r="AJB18" s="225"/>
      <c r="AJC18" s="226"/>
      <c r="AJD18" s="227"/>
      <c r="AJE18" s="228"/>
      <c r="AJF18" s="228"/>
      <c r="AJG18" s="228"/>
      <c r="AJH18" s="228"/>
      <c r="AJI18" s="228"/>
      <c r="AJJ18" s="228"/>
      <c r="AJK18" s="226"/>
      <c r="AJL18" s="226"/>
      <c r="AJM18" s="224"/>
      <c r="AJN18" s="225"/>
      <c r="AJO18" s="226"/>
      <c r="AJP18" s="227"/>
      <c r="AJQ18" s="228"/>
      <c r="AJR18" s="228"/>
      <c r="AJS18" s="228"/>
      <c r="AJT18" s="228"/>
      <c r="AJU18" s="228"/>
      <c r="AJV18" s="228"/>
      <c r="AJW18" s="226"/>
      <c r="AJX18" s="226"/>
      <c r="AJY18" s="224"/>
      <c r="AJZ18" s="225"/>
      <c r="AKA18" s="226"/>
      <c r="AKB18" s="227"/>
      <c r="AKC18" s="228"/>
      <c r="AKD18" s="228"/>
      <c r="AKE18" s="228"/>
      <c r="AKF18" s="228"/>
      <c r="AKG18" s="228"/>
      <c r="AKH18" s="228"/>
      <c r="AKI18" s="226"/>
      <c r="AKJ18" s="226"/>
      <c r="AKK18" s="224"/>
      <c r="AKL18" s="225"/>
      <c r="AKM18" s="226"/>
      <c r="AKN18" s="227"/>
      <c r="AKO18" s="228"/>
      <c r="AKP18" s="228"/>
      <c r="AKQ18" s="228"/>
      <c r="AKR18" s="228"/>
      <c r="AKS18" s="228"/>
      <c r="AKT18" s="228"/>
      <c r="AKU18" s="226"/>
      <c r="AKV18" s="226"/>
      <c r="AKW18" s="224"/>
      <c r="AKX18" s="225"/>
      <c r="AKY18" s="226"/>
      <c r="AKZ18" s="227"/>
      <c r="ALA18" s="228"/>
      <c r="ALB18" s="228"/>
      <c r="ALC18" s="228"/>
      <c r="ALD18" s="228"/>
      <c r="ALE18" s="228"/>
      <c r="ALF18" s="228"/>
      <c r="ALG18" s="226"/>
      <c r="ALH18" s="226"/>
      <c r="ALI18" s="224"/>
      <c r="ALJ18" s="225"/>
      <c r="ALK18" s="226"/>
      <c r="ALL18" s="227"/>
      <c r="ALM18" s="228"/>
      <c r="ALN18" s="228"/>
      <c r="ALO18" s="228"/>
      <c r="ALP18" s="228"/>
      <c r="ALQ18" s="228"/>
      <c r="ALR18" s="228"/>
      <c r="ALS18" s="226"/>
      <c r="ALT18" s="226"/>
      <c r="ALU18" s="224"/>
      <c r="ALV18" s="225"/>
      <c r="ALW18" s="226"/>
      <c r="ALX18" s="227"/>
      <c r="ALY18" s="228"/>
      <c r="ALZ18" s="228"/>
      <c r="AMA18" s="228"/>
      <c r="AMB18" s="228"/>
      <c r="AMC18" s="228"/>
      <c r="AMD18" s="228"/>
      <c r="AME18" s="226"/>
      <c r="AMF18" s="226"/>
      <c r="AMG18" s="224"/>
      <c r="AMH18" s="225"/>
      <c r="AMI18" s="226"/>
      <c r="AMJ18" s="227"/>
      <c r="AMK18" s="228"/>
      <c r="AML18" s="228"/>
      <c r="AMM18" s="228"/>
      <c r="AMN18" s="228"/>
      <c r="AMO18" s="228"/>
      <c r="AMP18" s="228"/>
      <c r="AMQ18" s="226"/>
      <c r="AMR18" s="226"/>
      <c r="AMS18" s="224"/>
      <c r="AMT18" s="225"/>
      <c r="AMU18" s="226"/>
      <c r="AMV18" s="227"/>
      <c r="AMW18" s="228"/>
      <c r="AMX18" s="228"/>
      <c r="AMY18" s="228"/>
      <c r="AMZ18" s="228"/>
      <c r="ANA18" s="228"/>
      <c r="ANB18" s="228"/>
      <c r="ANC18" s="226"/>
      <c r="AND18" s="226"/>
      <c r="ANE18" s="224"/>
      <c r="ANF18" s="225"/>
      <c r="ANG18" s="226"/>
      <c r="ANH18" s="227"/>
      <c r="ANI18" s="228"/>
      <c r="ANJ18" s="228"/>
      <c r="ANK18" s="228"/>
      <c r="ANL18" s="228"/>
      <c r="ANM18" s="228"/>
      <c r="ANN18" s="228"/>
      <c r="ANO18" s="226"/>
      <c r="ANP18" s="226"/>
      <c r="ANQ18" s="224"/>
      <c r="ANR18" s="225"/>
      <c r="ANS18" s="226"/>
      <c r="ANT18" s="227"/>
      <c r="ANU18" s="228"/>
      <c r="ANV18" s="228"/>
      <c r="ANW18" s="228"/>
      <c r="ANX18" s="228"/>
      <c r="ANY18" s="228"/>
      <c r="ANZ18" s="228"/>
      <c r="AOA18" s="226"/>
      <c r="AOB18" s="226"/>
      <c r="AOC18" s="224"/>
      <c r="AOD18" s="225"/>
      <c r="AOE18" s="226"/>
      <c r="AOF18" s="227"/>
      <c r="AOG18" s="228"/>
      <c r="AOH18" s="228"/>
      <c r="AOI18" s="228"/>
      <c r="AOJ18" s="228"/>
      <c r="AOK18" s="228"/>
      <c r="AOL18" s="228"/>
      <c r="AOM18" s="226"/>
      <c r="AON18" s="226"/>
      <c r="AOO18" s="224"/>
      <c r="AOP18" s="225"/>
      <c r="AOQ18" s="226"/>
      <c r="AOR18" s="227"/>
      <c r="AOS18" s="228"/>
      <c r="AOT18" s="228"/>
      <c r="AOU18" s="228"/>
      <c r="AOV18" s="228"/>
      <c r="AOW18" s="228"/>
      <c r="AOX18" s="228"/>
      <c r="AOY18" s="226"/>
      <c r="AOZ18" s="226"/>
      <c r="APA18" s="224"/>
      <c r="APB18" s="225"/>
      <c r="APC18" s="226"/>
      <c r="APD18" s="227"/>
      <c r="APE18" s="228"/>
      <c r="APF18" s="228"/>
      <c r="APG18" s="228"/>
      <c r="APH18" s="228"/>
      <c r="API18" s="228"/>
      <c r="APJ18" s="228"/>
      <c r="APK18" s="226"/>
      <c r="APL18" s="226"/>
      <c r="APM18" s="224"/>
      <c r="APN18" s="225"/>
      <c r="APO18" s="226"/>
      <c r="APP18" s="227"/>
      <c r="APQ18" s="228"/>
      <c r="APR18" s="228"/>
      <c r="APS18" s="228"/>
      <c r="APT18" s="228"/>
      <c r="APU18" s="228"/>
      <c r="APV18" s="228"/>
      <c r="APW18" s="226"/>
      <c r="APX18" s="226"/>
      <c r="APY18" s="224"/>
      <c r="APZ18" s="225"/>
      <c r="AQA18" s="226"/>
      <c r="AQB18" s="227"/>
      <c r="AQC18" s="228"/>
      <c r="AQD18" s="228"/>
      <c r="AQE18" s="228"/>
      <c r="AQF18" s="228"/>
      <c r="AQG18" s="228"/>
      <c r="AQH18" s="228"/>
      <c r="AQI18" s="226"/>
      <c r="AQJ18" s="226"/>
      <c r="AQK18" s="224"/>
      <c r="AQL18" s="225"/>
      <c r="AQM18" s="226"/>
      <c r="AQN18" s="227"/>
      <c r="AQO18" s="228"/>
      <c r="AQP18" s="228"/>
      <c r="AQQ18" s="228"/>
      <c r="AQR18" s="228"/>
      <c r="AQS18" s="228"/>
      <c r="AQT18" s="228"/>
      <c r="AQU18" s="226"/>
      <c r="AQV18" s="226"/>
      <c r="AQW18" s="224"/>
      <c r="AQX18" s="225"/>
      <c r="AQY18" s="226"/>
      <c r="AQZ18" s="227"/>
      <c r="ARA18" s="228"/>
      <c r="ARB18" s="228"/>
      <c r="ARC18" s="228"/>
      <c r="ARD18" s="228"/>
      <c r="ARE18" s="228"/>
      <c r="ARF18" s="228"/>
      <c r="ARG18" s="226"/>
      <c r="ARH18" s="226"/>
      <c r="ARI18" s="224"/>
      <c r="ARJ18" s="225"/>
      <c r="ARK18" s="226"/>
      <c r="ARL18" s="227"/>
      <c r="ARM18" s="228"/>
      <c r="ARN18" s="228"/>
      <c r="ARO18" s="228"/>
      <c r="ARP18" s="228"/>
      <c r="ARQ18" s="228"/>
      <c r="ARR18" s="228"/>
      <c r="ARS18" s="226"/>
      <c r="ART18" s="226"/>
      <c r="ARU18" s="224"/>
      <c r="ARV18" s="225"/>
      <c r="ARW18" s="226"/>
      <c r="ARX18" s="227"/>
      <c r="ARY18" s="228"/>
      <c r="ARZ18" s="228"/>
      <c r="ASA18" s="228"/>
      <c r="ASB18" s="228"/>
      <c r="ASC18" s="228"/>
      <c r="ASD18" s="228"/>
      <c r="ASE18" s="226"/>
      <c r="ASF18" s="226"/>
      <c r="ASG18" s="224"/>
      <c r="ASH18" s="225"/>
      <c r="ASI18" s="226"/>
      <c r="ASJ18" s="227"/>
      <c r="ASK18" s="228"/>
      <c r="ASL18" s="228"/>
      <c r="ASM18" s="228"/>
      <c r="ASN18" s="228"/>
      <c r="ASO18" s="228"/>
      <c r="ASP18" s="228"/>
      <c r="ASQ18" s="226"/>
      <c r="ASR18" s="226"/>
      <c r="ASS18" s="224"/>
      <c r="AST18" s="225"/>
      <c r="ASU18" s="226"/>
      <c r="ASV18" s="227"/>
      <c r="ASW18" s="228"/>
      <c r="ASX18" s="228"/>
      <c r="ASY18" s="228"/>
      <c r="ASZ18" s="228"/>
      <c r="ATA18" s="228"/>
      <c r="ATB18" s="228"/>
      <c r="ATC18" s="226"/>
      <c r="ATD18" s="226"/>
      <c r="ATE18" s="224"/>
      <c r="ATF18" s="225"/>
      <c r="ATG18" s="226"/>
      <c r="ATH18" s="227"/>
      <c r="ATI18" s="228"/>
      <c r="ATJ18" s="228"/>
      <c r="ATK18" s="228"/>
      <c r="ATL18" s="228"/>
      <c r="ATM18" s="228"/>
      <c r="ATN18" s="228"/>
      <c r="ATO18" s="226"/>
      <c r="ATP18" s="226"/>
      <c r="ATQ18" s="224"/>
      <c r="ATR18" s="225"/>
      <c r="ATS18" s="226"/>
      <c r="ATT18" s="227"/>
      <c r="ATU18" s="228"/>
      <c r="ATV18" s="228"/>
      <c r="ATW18" s="228"/>
      <c r="ATX18" s="228"/>
      <c r="ATY18" s="228"/>
      <c r="ATZ18" s="228"/>
      <c r="AUA18" s="226"/>
      <c r="AUB18" s="226"/>
      <c r="AUC18" s="224"/>
      <c r="AUD18" s="225"/>
      <c r="AUE18" s="226"/>
      <c r="AUF18" s="227"/>
      <c r="AUG18" s="228"/>
      <c r="AUH18" s="228"/>
      <c r="AUI18" s="228"/>
      <c r="AUJ18" s="228"/>
      <c r="AUK18" s="228"/>
      <c r="AUL18" s="228"/>
      <c r="AUM18" s="226"/>
      <c r="AUN18" s="226"/>
      <c r="AUO18" s="224"/>
      <c r="AUP18" s="225"/>
      <c r="AUQ18" s="226"/>
      <c r="AUR18" s="227"/>
      <c r="AUS18" s="228"/>
      <c r="AUT18" s="228"/>
      <c r="AUU18" s="228"/>
      <c r="AUV18" s="228"/>
      <c r="AUW18" s="228"/>
      <c r="AUX18" s="228"/>
      <c r="AUY18" s="226"/>
      <c r="AUZ18" s="226"/>
      <c r="AVA18" s="224"/>
      <c r="AVB18" s="225"/>
      <c r="AVC18" s="226"/>
      <c r="AVD18" s="227"/>
      <c r="AVE18" s="228"/>
      <c r="AVF18" s="228"/>
      <c r="AVG18" s="228"/>
      <c r="AVH18" s="228"/>
      <c r="AVI18" s="228"/>
      <c r="AVJ18" s="228"/>
      <c r="AVK18" s="226"/>
      <c r="AVL18" s="226"/>
      <c r="AVM18" s="224"/>
      <c r="AVN18" s="225"/>
      <c r="AVO18" s="226"/>
      <c r="AVP18" s="227"/>
      <c r="AVQ18" s="228"/>
      <c r="AVR18" s="228"/>
      <c r="AVS18" s="228"/>
      <c r="AVT18" s="228"/>
      <c r="AVU18" s="228"/>
      <c r="AVV18" s="228"/>
      <c r="AVW18" s="226"/>
      <c r="AVX18" s="226"/>
      <c r="AVY18" s="224"/>
      <c r="AVZ18" s="225"/>
      <c r="AWA18" s="226"/>
      <c r="AWB18" s="227"/>
      <c r="AWC18" s="228"/>
      <c r="AWD18" s="228"/>
      <c r="AWE18" s="228"/>
      <c r="AWF18" s="228"/>
      <c r="AWG18" s="228"/>
      <c r="AWH18" s="228"/>
      <c r="AWI18" s="226"/>
      <c r="AWJ18" s="226"/>
      <c r="AWK18" s="224"/>
      <c r="AWL18" s="225"/>
      <c r="AWM18" s="226"/>
      <c r="AWN18" s="227"/>
      <c r="AWO18" s="228"/>
      <c r="AWP18" s="228"/>
      <c r="AWQ18" s="228"/>
      <c r="AWR18" s="228"/>
      <c r="AWS18" s="228"/>
      <c r="AWT18" s="228"/>
      <c r="AWU18" s="226"/>
      <c r="AWV18" s="226"/>
      <c r="AWW18" s="224"/>
      <c r="AWX18" s="225"/>
      <c r="AWY18" s="226"/>
      <c r="AWZ18" s="227"/>
      <c r="AXA18" s="228"/>
      <c r="AXB18" s="228"/>
      <c r="AXC18" s="228"/>
      <c r="AXD18" s="228"/>
      <c r="AXE18" s="228"/>
      <c r="AXF18" s="228"/>
      <c r="AXG18" s="226"/>
      <c r="AXH18" s="226"/>
      <c r="AXI18" s="224"/>
      <c r="AXJ18" s="225"/>
      <c r="AXK18" s="226"/>
      <c r="AXL18" s="227"/>
      <c r="AXM18" s="228"/>
      <c r="AXN18" s="228"/>
      <c r="AXO18" s="228"/>
      <c r="AXP18" s="228"/>
      <c r="AXQ18" s="228"/>
      <c r="AXR18" s="228"/>
      <c r="AXS18" s="226"/>
      <c r="AXT18" s="226"/>
      <c r="AXU18" s="224"/>
      <c r="AXV18" s="225"/>
      <c r="AXW18" s="226"/>
      <c r="AXX18" s="227"/>
      <c r="AXY18" s="228"/>
      <c r="AXZ18" s="228"/>
      <c r="AYA18" s="228"/>
      <c r="AYB18" s="228"/>
      <c r="AYC18" s="228"/>
      <c r="AYD18" s="228"/>
      <c r="AYE18" s="226"/>
      <c r="AYF18" s="226"/>
      <c r="AYG18" s="224"/>
      <c r="AYH18" s="225"/>
      <c r="AYI18" s="226"/>
      <c r="AYJ18" s="227"/>
      <c r="AYK18" s="228"/>
      <c r="AYL18" s="228"/>
      <c r="AYM18" s="228"/>
      <c r="AYN18" s="228"/>
      <c r="AYO18" s="228"/>
      <c r="AYP18" s="228"/>
      <c r="AYQ18" s="226"/>
      <c r="AYR18" s="226"/>
      <c r="AYS18" s="224"/>
      <c r="AYT18" s="225"/>
      <c r="AYU18" s="226"/>
      <c r="AYV18" s="227"/>
      <c r="AYW18" s="228"/>
      <c r="AYX18" s="228"/>
      <c r="AYY18" s="228"/>
      <c r="AYZ18" s="228"/>
      <c r="AZA18" s="228"/>
      <c r="AZB18" s="228"/>
      <c r="AZC18" s="226"/>
      <c r="AZD18" s="226"/>
      <c r="AZE18" s="224"/>
      <c r="AZF18" s="225"/>
      <c r="AZG18" s="226"/>
      <c r="AZH18" s="227"/>
      <c r="AZI18" s="228"/>
      <c r="AZJ18" s="228"/>
      <c r="AZK18" s="228"/>
      <c r="AZL18" s="228"/>
      <c r="AZM18" s="228"/>
      <c r="AZN18" s="228"/>
      <c r="AZO18" s="226"/>
      <c r="AZP18" s="226"/>
      <c r="AZQ18" s="224"/>
      <c r="AZR18" s="225"/>
      <c r="AZS18" s="226"/>
      <c r="AZT18" s="227"/>
      <c r="AZU18" s="228"/>
      <c r="AZV18" s="228"/>
      <c r="AZW18" s="228"/>
      <c r="AZX18" s="228"/>
      <c r="AZY18" s="228"/>
      <c r="AZZ18" s="228"/>
      <c r="BAA18" s="226"/>
      <c r="BAB18" s="226"/>
      <c r="BAC18" s="224"/>
      <c r="BAD18" s="225"/>
      <c r="BAE18" s="226"/>
      <c r="BAF18" s="227"/>
      <c r="BAG18" s="228"/>
      <c r="BAH18" s="228"/>
      <c r="BAI18" s="228"/>
      <c r="BAJ18" s="228"/>
      <c r="BAK18" s="228"/>
      <c r="BAL18" s="228"/>
      <c r="BAM18" s="226"/>
      <c r="BAN18" s="226"/>
      <c r="BAO18" s="224"/>
      <c r="BAP18" s="225"/>
      <c r="BAQ18" s="226"/>
      <c r="BAR18" s="227"/>
      <c r="BAS18" s="228"/>
      <c r="BAT18" s="228"/>
      <c r="BAU18" s="228"/>
      <c r="BAV18" s="228"/>
      <c r="BAW18" s="228"/>
      <c r="BAX18" s="228"/>
      <c r="BAY18" s="226"/>
      <c r="BAZ18" s="226"/>
      <c r="BBA18" s="224"/>
      <c r="BBB18" s="225"/>
      <c r="BBC18" s="226"/>
      <c r="BBD18" s="227"/>
      <c r="BBE18" s="228"/>
      <c r="BBF18" s="228"/>
      <c r="BBG18" s="228"/>
      <c r="BBH18" s="228"/>
      <c r="BBI18" s="228"/>
      <c r="BBJ18" s="228"/>
      <c r="BBK18" s="226"/>
      <c r="BBL18" s="226"/>
      <c r="BBM18" s="224"/>
      <c r="BBN18" s="225"/>
      <c r="BBO18" s="226"/>
      <c r="BBP18" s="227"/>
      <c r="BBQ18" s="228"/>
      <c r="BBR18" s="228"/>
      <c r="BBS18" s="228"/>
      <c r="BBT18" s="228"/>
      <c r="BBU18" s="228"/>
      <c r="BBV18" s="228"/>
      <c r="BBW18" s="226"/>
      <c r="BBX18" s="226"/>
      <c r="BBY18" s="224"/>
      <c r="BBZ18" s="225"/>
      <c r="BCA18" s="226"/>
      <c r="BCB18" s="227"/>
      <c r="BCC18" s="228"/>
      <c r="BCD18" s="228"/>
      <c r="BCE18" s="228"/>
      <c r="BCF18" s="228"/>
      <c r="BCG18" s="228"/>
      <c r="BCH18" s="228"/>
      <c r="BCI18" s="226"/>
      <c r="BCJ18" s="226"/>
      <c r="BCK18" s="224"/>
      <c r="BCL18" s="225"/>
      <c r="BCM18" s="226"/>
      <c r="BCN18" s="227"/>
      <c r="BCO18" s="228"/>
      <c r="BCP18" s="228"/>
      <c r="BCQ18" s="228"/>
      <c r="BCR18" s="228"/>
      <c r="BCS18" s="228"/>
      <c r="BCT18" s="228"/>
      <c r="BCU18" s="226"/>
      <c r="BCV18" s="226"/>
      <c r="BCW18" s="224"/>
      <c r="BCX18" s="225"/>
      <c r="BCY18" s="226"/>
      <c r="BCZ18" s="227"/>
      <c r="BDA18" s="228"/>
      <c r="BDB18" s="228"/>
      <c r="BDC18" s="228"/>
      <c r="BDD18" s="228"/>
      <c r="BDE18" s="228"/>
      <c r="BDF18" s="228"/>
      <c r="BDG18" s="226"/>
      <c r="BDH18" s="226"/>
      <c r="BDI18" s="224"/>
      <c r="BDJ18" s="225"/>
      <c r="BDK18" s="226"/>
      <c r="BDL18" s="227"/>
      <c r="BDM18" s="228"/>
      <c r="BDN18" s="228"/>
      <c r="BDO18" s="228"/>
      <c r="BDP18" s="228"/>
      <c r="BDQ18" s="228"/>
      <c r="BDR18" s="228"/>
      <c r="BDS18" s="226"/>
      <c r="BDT18" s="226"/>
      <c r="BDU18" s="224"/>
      <c r="BDV18" s="225"/>
      <c r="BDW18" s="226"/>
      <c r="BDX18" s="227"/>
      <c r="BDY18" s="228"/>
      <c r="BDZ18" s="228"/>
      <c r="BEA18" s="228"/>
      <c r="BEB18" s="228"/>
      <c r="BEC18" s="228"/>
      <c r="BED18" s="228"/>
      <c r="BEE18" s="226"/>
      <c r="BEF18" s="226"/>
      <c r="BEG18" s="224"/>
      <c r="BEH18" s="225"/>
      <c r="BEI18" s="226"/>
      <c r="BEJ18" s="227"/>
      <c r="BEK18" s="228"/>
      <c r="BEL18" s="228"/>
      <c r="BEM18" s="228"/>
      <c r="BEN18" s="228"/>
      <c r="BEO18" s="228"/>
      <c r="BEP18" s="228"/>
      <c r="BEQ18" s="226"/>
      <c r="BER18" s="226"/>
      <c r="BES18" s="224"/>
      <c r="BET18" s="225"/>
      <c r="BEU18" s="226"/>
      <c r="BEV18" s="227"/>
      <c r="BEW18" s="228"/>
      <c r="BEX18" s="228"/>
      <c r="BEY18" s="228"/>
      <c r="BEZ18" s="228"/>
      <c r="BFA18" s="228"/>
      <c r="BFB18" s="228"/>
      <c r="BFC18" s="226"/>
      <c r="BFD18" s="226"/>
      <c r="BFE18" s="224"/>
      <c r="BFF18" s="225"/>
      <c r="BFG18" s="226"/>
      <c r="BFH18" s="227"/>
      <c r="BFI18" s="228"/>
      <c r="BFJ18" s="228"/>
      <c r="BFK18" s="228"/>
      <c r="BFL18" s="228"/>
      <c r="BFM18" s="228"/>
      <c r="BFN18" s="228"/>
      <c r="BFO18" s="226"/>
      <c r="BFP18" s="226"/>
      <c r="BFQ18" s="224"/>
      <c r="BFR18" s="225"/>
      <c r="BFS18" s="226"/>
      <c r="BFT18" s="227"/>
      <c r="BFU18" s="228"/>
      <c r="BFV18" s="228"/>
      <c r="BFW18" s="228"/>
      <c r="BFX18" s="228"/>
      <c r="BFY18" s="228"/>
      <c r="BFZ18" s="228"/>
      <c r="BGA18" s="226"/>
      <c r="BGB18" s="226"/>
      <c r="BGC18" s="224"/>
      <c r="BGD18" s="225"/>
      <c r="BGE18" s="226"/>
      <c r="BGF18" s="227"/>
      <c r="BGG18" s="228"/>
      <c r="BGH18" s="228"/>
      <c r="BGI18" s="228"/>
      <c r="BGJ18" s="228"/>
      <c r="BGK18" s="228"/>
      <c r="BGL18" s="228"/>
      <c r="BGM18" s="226"/>
      <c r="BGN18" s="226"/>
      <c r="BGO18" s="224"/>
      <c r="BGP18" s="225"/>
      <c r="BGQ18" s="226"/>
      <c r="BGR18" s="227"/>
      <c r="BGS18" s="228"/>
      <c r="BGT18" s="228"/>
      <c r="BGU18" s="228"/>
      <c r="BGV18" s="228"/>
      <c r="BGW18" s="228"/>
      <c r="BGX18" s="228"/>
      <c r="BGY18" s="226"/>
      <c r="BGZ18" s="226"/>
      <c r="BHA18" s="224"/>
      <c r="BHB18" s="225"/>
      <c r="BHC18" s="226"/>
      <c r="BHD18" s="227"/>
      <c r="BHE18" s="228"/>
      <c r="BHF18" s="228"/>
      <c r="BHG18" s="228"/>
      <c r="BHH18" s="228"/>
      <c r="BHI18" s="228"/>
      <c r="BHJ18" s="228"/>
      <c r="BHK18" s="226"/>
      <c r="BHL18" s="226"/>
      <c r="BHM18" s="224"/>
      <c r="BHN18" s="225"/>
      <c r="BHO18" s="226"/>
      <c r="BHP18" s="227"/>
      <c r="BHQ18" s="228"/>
      <c r="BHR18" s="228"/>
      <c r="BHS18" s="228"/>
      <c r="BHT18" s="228"/>
      <c r="BHU18" s="228"/>
      <c r="BHV18" s="228"/>
      <c r="BHW18" s="226"/>
      <c r="BHX18" s="226"/>
      <c r="BHY18" s="224"/>
      <c r="BHZ18" s="225"/>
      <c r="BIA18" s="226"/>
      <c r="BIB18" s="227"/>
      <c r="BIC18" s="228"/>
      <c r="BID18" s="228"/>
      <c r="BIE18" s="228"/>
      <c r="BIF18" s="228"/>
      <c r="BIG18" s="228"/>
      <c r="BIH18" s="228"/>
      <c r="BII18" s="226"/>
      <c r="BIJ18" s="226"/>
      <c r="BIK18" s="224"/>
      <c r="BIL18" s="225"/>
      <c r="BIM18" s="226"/>
      <c r="BIN18" s="227"/>
      <c r="BIO18" s="228"/>
      <c r="BIP18" s="228"/>
      <c r="BIQ18" s="228"/>
      <c r="BIR18" s="228"/>
      <c r="BIS18" s="228"/>
      <c r="BIT18" s="228"/>
      <c r="BIU18" s="226"/>
      <c r="BIV18" s="226"/>
      <c r="BIW18" s="224"/>
      <c r="BIX18" s="225"/>
      <c r="BIY18" s="226"/>
      <c r="BIZ18" s="227"/>
      <c r="BJA18" s="228"/>
      <c r="BJB18" s="228"/>
      <c r="BJC18" s="228"/>
      <c r="BJD18" s="228"/>
      <c r="BJE18" s="228"/>
      <c r="BJF18" s="228"/>
      <c r="BJG18" s="226"/>
      <c r="BJH18" s="226"/>
      <c r="BJI18" s="224"/>
      <c r="BJJ18" s="225"/>
      <c r="BJK18" s="226"/>
      <c r="BJL18" s="227"/>
      <c r="BJM18" s="228"/>
      <c r="BJN18" s="228"/>
      <c r="BJO18" s="228"/>
      <c r="BJP18" s="228"/>
      <c r="BJQ18" s="228"/>
      <c r="BJR18" s="228"/>
      <c r="BJS18" s="226"/>
      <c r="BJT18" s="226"/>
      <c r="BJU18" s="224"/>
      <c r="BJV18" s="225"/>
      <c r="BJW18" s="226"/>
      <c r="BJX18" s="227"/>
      <c r="BJY18" s="228"/>
      <c r="BJZ18" s="228"/>
      <c r="BKA18" s="228"/>
      <c r="BKB18" s="228"/>
      <c r="BKC18" s="228"/>
      <c r="BKD18" s="228"/>
      <c r="BKE18" s="226"/>
      <c r="BKF18" s="226"/>
      <c r="BKG18" s="224"/>
      <c r="BKH18" s="225"/>
      <c r="BKI18" s="226"/>
      <c r="BKJ18" s="227"/>
      <c r="BKK18" s="228"/>
      <c r="BKL18" s="228"/>
      <c r="BKM18" s="228"/>
      <c r="BKN18" s="228"/>
      <c r="BKO18" s="228"/>
      <c r="BKP18" s="228"/>
      <c r="BKQ18" s="226"/>
      <c r="BKR18" s="226"/>
      <c r="BKS18" s="224"/>
      <c r="BKT18" s="225"/>
      <c r="BKU18" s="226"/>
      <c r="BKV18" s="227"/>
      <c r="BKW18" s="228"/>
      <c r="BKX18" s="228"/>
      <c r="BKY18" s="228"/>
      <c r="BKZ18" s="228"/>
      <c r="BLA18" s="228"/>
      <c r="BLB18" s="228"/>
      <c r="BLC18" s="226"/>
      <c r="BLD18" s="226"/>
      <c r="BLE18" s="224"/>
      <c r="BLF18" s="225"/>
      <c r="BLG18" s="226"/>
      <c r="BLH18" s="227"/>
      <c r="BLI18" s="228"/>
      <c r="BLJ18" s="228"/>
      <c r="BLK18" s="228"/>
      <c r="BLL18" s="228"/>
      <c r="BLM18" s="228"/>
      <c r="BLN18" s="228"/>
      <c r="BLO18" s="226"/>
      <c r="BLP18" s="226"/>
      <c r="BLQ18" s="224"/>
      <c r="BLR18" s="225"/>
      <c r="BLS18" s="226"/>
      <c r="BLT18" s="227"/>
      <c r="BLU18" s="228"/>
      <c r="BLV18" s="228"/>
      <c r="BLW18" s="228"/>
      <c r="BLX18" s="228"/>
      <c r="BLY18" s="228"/>
      <c r="BLZ18" s="228"/>
      <c r="BMA18" s="226"/>
      <c r="BMB18" s="226"/>
      <c r="BMC18" s="224"/>
      <c r="BMD18" s="225"/>
      <c r="BME18" s="226"/>
      <c r="BMF18" s="227"/>
      <c r="BMG18" s="228"/>
      <c r="BMH18" s="228"/>
      <c r="BMI18" s="228"/>
      <c r="BMJ18" s="228"/>
      <c r="BMK18" s="228"/>
      <c r="BML18" s="228"/>
      <c r="BMM18" s="226"/>
      <c r="BMN18" s="226"/>
      <c r="BMO18" s="224"/>
      <c r="BMP18" s="225"/>
      <c r="BMQ18" s="226"/>
      <c r="BMR18" s="227"/>
      <c r="BMS18" s="228"/>
      <c r="BMT18" s="228"/>
      <c r="BMU18" s="228"/>
      <c r="BMV18" s="228"/>
      <c r="BMW18" s="228"/>
      <c r="BMX18" s="228"/>
      <c r="BMY18" s="226"/>
      <c r="BMZ18" s="226"/>
      <c r="BNA18" s="224"/>
      <c r="BNB18" s="225"/>
      <c r="BNC18" s="226"/>
      <c r="BND18" s="227"/>
      <c r="BNE18" s="228"/>
      <c r="BNF18" s="228"/>
      <c r="BNG18" s="228"/>
      <c r="BNH18" s="228"/>
      <c r="BNI18" s="228"/>
      <c r="BNJ18" s="228"/>
      <c r="BNK18" s="226"/>
      <c r="BNL18" s="226"/>
      <c r="BNM18" s="224"/>
      <c r="BNN18" s="225"/>
      <c r="BNO18" s="226"/>
      <c r="BNP18" s="227"/>
      <c r="BNQ18" s="228"/>
      <c r="BNR18" s="228"/>
      <c r="BNS18" s="228"/>
      <c r="BNT18" s="228"/>
      <c r="BNU18" s="228"/>
      <c r="BNV18" s="228"/>
      <c r="BNW18" s="226"/>
      <c r="BNX18" s="226"/>
      <c r="BNY18" s="224"/>
      <c r="BNZ18" s="225"/>
      <c r="BOA18" s="226"/>
      <c r="BOB18" s="227"/>
      <c r="BOC18" s="228"/>
      <c r="BOD18" s="228"/>
      <c r="BOE18" s="228"/>
      <c r="BOF18" s="228"/>
      <c r="BOG18" s="228"/>
      <c r="BOH18" s="228"/>
      <c r="BOI18" s="226"/>
      <c r="BOJ18" s="226"/>
      <c r="BOK18" s="224"/>
      <c r="BOL18" s="225"/>
      <c r="BOM18" s="226"/>
      <c r="BON18" s="227"/>
      <c r="BOO18" s="228"/>
      <c r="BOP18" s="228"/>
      <c r="BOQ18" s="228"/>
      <c r="BOR18" s="228"/>
      <c r="BOS18" s="228"/>
      <c r="BOT18" s="228"/>
      <c r="BOU18" s="226"/>
      <c r="BOV18" s="226"/>
      <c r="BOW18" s="224"/>
      <c r="BOX18" s="225"/>
      <c r="BOY18" s="226"/>
      <c r="BOZ18" s="227"/>
      <c r="BPA18" s="228"/>
      <c r="BPB18" s="228"/>
      <c r="BPC18" s="228"/>
      <c r="BPD18" s="228"/>
      <c r="BPE18" s="228"/>
      <c r="BPF18" s="228"/>
      <c r="BPG18" s="226"/>
      <c r="BPH18" s="226"/>
      <c r="BPI18" s="224"/>
      <c r="BPJ18" s="225"/>
      <c r="BPK18" s="226"/>
      <c r="BPL18" s="227"/>
      <c r="BPM18" s="228"/>
      <c r="BPN18" s="228"/>
      <c r="BPO18" s="228"/>
      <c r="BPP18" s="228"/>
      <c r="BPQ18" s="228"/>
      <c r="BPR18" s="228"/>
      <c r="BPS18" s="226"/>
      <c r="BPT18" s="226"/>
      <c r="BPU18" s="224"/>
      <c r="BPV18" s="225"/>
      <c r="BPW18" s="226"/>
      <c r="BPX18" s="227"/>
      <c r="BPY18" s="228"/>
      <c r="BPZ18" s="228"/>
      <c r="BQA18" s="228"/>
      <c r="BQB18" s="228"/>
      <c r="BQC18" s="228"/>
      <c r="BQD18" s="228"/>
      <c r="BQE18" s="226"/>
      <c r="BQF18" s="226"/>
      <c r="BQG18" s="224"/>
      <c r="BQH18" s="225"/>
      <c r="BQI18" s="226"/>
      <c r="BQJ18" s="227"/>
      <c r="BQK18" s="228"/>
      <c r="BQL18" s="228"/>
      <c r="BQM18" s="228"/>
      <c r="BQN18" s="228"/>
      <c r="BQO18" s="228"/>
      <c r="BQP18" s="228"/>
      <c r="BQQ18" s="226"/>
      <c r="BQR18" s="226"/>
      <c r="BQS18" s="224"/>
      <c r="BQT18" s="225"/>
      <c r="BQU18" s="226"/>
      <c r="BQV18" s="227"/>
      <c r="BQW18" s="228"/>
      <c r="BQX18" s="228"/>
      <c r="BQY18" s="228"/>
      <c r="BQZ18" s="228"/>
      <c r="BRA18" s="228"/>
      <c r="BRB18" s="228"/>
      <c r="BRC18" s="226"/>
      <c r="BRD18" s="226"/>
      <c r="BRE18" s="224"/>
      <c r="BRF18" s="225"/>
      <c r="BRG18" s="226"/>
      <c r="BRH18" s="227"/>
      <c r="BRI18" s="228"/>
      <c r="BRJ18" s="228"/>
      <c r="BRK18" s="228"/>
      <c r="BRL18" s="228"/>
      <c r="BRM18" s="228"/>
      <c r="BRN18" s="228"/>
      <c r="BRO18" s="226"/>
      <c r="BRP18" s="226"/>
      <c r="BRQ18" s="224"/>
      <c r="BRR18" s="225"/>
      <c r="BRS18" s="226"/>
      <c r="BRT18" s="227"/>
      <c r="BRU18" s="228"/>
      <c r="BRV18" s="228"/>
      <c r="BRW18" s="228"/>
      <c r="BRX18" s="228"/>
      <c r="BRY18" s="228"/>
      <c r="BRZ18" s="228"/>
      <c r="BSA18" s="226"/>
      <c r="BSB18" s="226"/>
      <c r="BSC18" s="224"/>
      <c r="BSD18" s="225"/>
      <c r="BSE18" s="226"/>
      <c r="BSF18" s="227"/>
      <c r="BSG18" s="228"/>
      <c r="BSH18" s="228"/>
      <c r="BSI18" s="228"/>
      <c r="BSJ18" s="228"/>
      <c r="BSK18" s="228"/>
      <c r="BSL18" s="228"/>
      <c r="BSM18" s="226"/>
      <c r="BSN18" s="226"/>
      <c r="BSO18" s="224"/>
      <c r="BSP18" s="225"/>
      <c r="BSQ18" s="226"/>
      <c r="BSR18" s="227"/>
      <c r="BSS18" s="228"/>
      <c r="BST18" s="228"/>
      <c r="BSU18" s="228"/>
      <c r="BSV18" s="228"/>
      <c r="BSW18" s="228"/>
      <c r="BSX18" s="228"/>
      <c r="BSY18" s="226"/>
      <c r="BSZ18" s="226"/>
      <c r="BTA18" s="224"/>
      <c r="BTB18" s="225"/>
      <c r="BTC18" s="226"/>
      <c r="BTD18" s="227"/>
      <c r="BTE18" s="228"/>
      <c r="BTF18" s="228"/>
      <c r="BTG18" s="228"/>
      <c r="BTH18" s="228"/>
      <c r="BTI18" s="228"/>
      <c r="BTJ18" s="228"/>
      <c r="BTK18" s="226"/>
      <c r="BTL18" s="226"/>
      <c r="BTM18" s="224"/>
      <c r="BTN18" s="225"/>
      <c r="BTO18" s="226"/>
      <c r="BTP18" s="227"/>
      <c r="BTQ18" s="228"/>
      <c r="BTR18" s="228"/>
      <c r="BTS18" s="228"/>
      <c r="BTT18" s="228"/>
      <c r="BTU18" s="228"/>
      <c r="BTV18" s="228"/>
      <c r="BTW18" s="226"/>
      <c r="BTX18" s="226"/>
      <c r="BTY18" s="224"/>
      <c r="BTZ18" s="225"/>
      <c r="BUA18" s="226"/>
      <c r="BUB18" s="227"/>
      <c r="BUC18" s="228"/>
      <c r="BUD18" s="228"/>
      <c r="BUE18" s="228"/>
      <c r="BUF18" s="228"/>
      <c r="BUG18" s="228"/>
      <c r="BUH18" s="228"/>
      <c r="BUI18" s="226"/>
      <c r="BUJ18" s="226"/>
      <c r="BUK18" s="224"/>
      <c r="BUL18" s="225"/>
      <c r="BUM18" s="226"/>
      <c r="BUN18" s="227"/>
      <c r="BUO18" s="228"/>
      <c r="BUP18" s="228"/>
      <c r="BUQ18" s="228"/>
      <c r="BUR18" s="228"/>
      <c r="BUS18" s="228"/>
      <c r="BUT18" s="228"/>
      <c r="BUU18" s="226"/>
      <c r="BUV18" s="226"/>
      <c r="BUW18" s="224"/>
      <c r="BUX18" s="225"/>
      <c r="BUY18" s="226"/>
      <c r="BUZ18" s="227"/>
      <c r="BVA18" s="228"/>
      <c r="BVB18" s="228"/>
      <c r="BVC18" s="228"/>
      <c r="BVD18" s="228"/>
      <c r="BVE18" s="228"/>
      <c r="BVF18" s="228"/>
      <c r="BVG18" s="226"/>
      <c r="BVH18" s="226"/>
      <c r="BVI18" s="224"/>
      <c r="BVJ18" s="225"/>
      <c r="BVK18" s="226"/>
      <c r="BVL18" s="227"/>
      <c r="BVM18" s="228"/>
      <c r="BVN18" s="228"/>
      <c r="BVO18" s="228"/>
      <c r="BVP18" s="228"/>
      <c r="BVQ18" s="228"/>
      <c r="BVR18" s="228"/>
      <c r="BVS18" s="226"/>
      <c r="BVT18" s="226"/>
      <c r="BVU18" s="224"/>
      <c r="BVV18" s="225"/>
      <c r="BVW18" s="226"/>
      <c r="BVX18" s="227"/>
      <c r="BVY18" s="228"/>
      <c r="BVZ18" s="228"/>
      <c r="BWA18" s="228"/>
      <c r="BWB18" s="228"/>
      <c r="BWC18" s="228"/>
      <c r="BWD18" s="228"/>
      <c r="BWE18" s="226"/>
      <c r="BWF18" s="226"/>
      <c r="BWG18" s="224"/>
      <c r="BWH18" s="225"/>
      <c r="BWI18" s="226"/>
      <c r="BWJ18" s="227"/>
      <c r="BWK18" s="228"/>
      <c r="BWL18" s="228"/>
      <c r="BWM18" s="228"/>
      <c r="BWN18" s="228"/>
      <c r="BWO18" s="228"/>
      <c r="BWP18" s="228"/>
      <c r="BWQ18" s="226"/>
      <c r="BWR18" s="226"/>
      <c r="BWS18" s="224"/>
      <c r="BWT18" s="225"/>
      <c r="BWU18" s="226"/>
      <c r="BWV18" s="227"/>
      <c r="BWW18" s="228"/>
      <c r="BWX18" s="228"/>
      <c r="BWY18" s="228"/>
      <c r="BWZ18" s="228"/>
      <c r="BXA18" s="228"/>
      <c r="BXB18" s="228"/>
      <c r="BXC18" s="226"/>
      <c r="BXD18" s="226"/>
      <c r="BXE18" s="224"/>
      <c r="BXF18" s="225"/>
      <c r="BXG18" s="226"/>
      <c r="BXH18" s="227"/>
      <c r="BXI18" s="228"/>
      <c r="BXJ18" s="228"/>
      <c r="BXK18" s="228"/>
      <c r="BXL18" s="228"/>
      <c r="BXM18" s="228"/>
      <c r="BXN18" s="228"/>
      <c r="BXO18" s="226"/>
      <c r="BXP18" s="226"/>
      <c r="BXQ18" s="224"/>
      <c r="BXR18" s="225"/>
      <c r="BXS18" s="226"/>
      <c r="BXT18" s="227"/>
      <c r="BXU18" s="228"/>
      <c r="BXV18" s="228"/>
      <c r="BXW18" s="228"/>
      <c r="BXX18" s="228"/>
      <c r="BXY18" s="228"/>
      <c r="BXZ18" s="228"/>
      <c r="BYA18" s="226"/>
      <c r="BYB18" s="226"/>
      <c r="BYC18" s="224"/>
      <c r="BYD18" s="225"/>
      <c r="BYE18" s="226"/>
      <c r="BYF18" s="227"/>
      <c r="BYG18" s="228"/>
      <c r="BYH18" s="228"/>
      <c r="BYI18" s="228"/>
      <c r="BYJ18" s="228"/>
      <c r="BYK18" s="228"/>
      <c r="BYL18" s="228"/>
      <c r="BYM18" s="226"/>
      <c r="BYN18" s="226"/>
      <c r="BYO18" s="224"/>
      <c r="BYP18" s="225"/>
      <c r="BYQ18" s="226"/>
      <c r="BYR18" s="227"/>
      <c r="BYS18" s="228"/>
      <c r="BYT18" s="228"/>
      <c r="BYU18" s="228"/>
      <c r="BYV18" s="228"/>
      <c r="BYW18" s="228"/>
      <c r="BYX18" s="228"/>
      <c r="BYY18" s="226"/>
      <c r="BYZ18" s="226"/>
      <c r="BZA18" s="224"/>
      <c r="BZB18" s="225"/>
      <c r="BZC18" s="226"/>
      <c r="BZD18" s="227"/>
      <c r="BZE18" s="228"/>
      <c r="BZF18" s="228"/>
      <c r="BZG18" s="228"/>
      <c r="BZH18" s="228"/>
      <c r="BZI18" s="228"/>
      <c r="BZJ18" s="228"/>
      <c r="BZK18" s="226"/>
      <c r="BZL18" s="226"/>
      <c r="BZM18" s="224"/>
      <c r="BZN18" s="225"/>
      <c r="BZO18" s="226"/>
      <c r="BZP18" s="227"/>
      <c r="BZQ18" s="228"/>
      <c r="BZR18" s="228"/>
      <c r="BZS18" s="228"/>
      <c r="BZT18" s="228"/>
      <c r="BZU18" s="228"/>
      <c r="BZV18" s="228"/>
      <c r="BZW18" s="226"/>
      <c r="BZX18" s="226"/>
      <c r="BZY18" s="224"/>
      <c r="BZZ18" s="225"/>
      <c r="CAA18" s="226"/>
      <c r="CAB18" s="227"/>
      <c r="CAC18" s="228"/>
      <c r="CAD18" s="228"/>
      <c r="CAE18" s="228"/>
      <c r="CAF18" s="228"/>
      <c r="CAG18" s="228"/>
      <c r="CAH18" s="228"/>
      <c r="CAI18" s="226"/>
      <c r="CAJ18" s="226"/>
      <c r="CAK18" s="224"/>
      <c r="CAL18" s="225"/>
      <c r="CAM18" s="226"/>
      <c r="CAN18" s="227"/>
      <c r="CAO18" s="228"/>
      <c r="CAP18" s="228"/>
      <c r="CAQ18" s="228"/>
      <c r="CAR18" s="228"/>
      <c r="CAS18" s="228"/>
      <c r="CAT18" s="228"/>
      <c r="CAU18" s="226"/>
      <c r="CAV18" s="226"/>
      <c r="CAW18" s="224"/>
      <c r="CAX18" s="225"/>
      <c r="CAY18" s="226"/>
      <c r="CAZ18" s="227"/>
      <c r="CBA18" s="228"/>
      <c r="CBB18" s="228"/>
      <c r="CBC18" s="228"/>
      <c r="CBD18" s="228"/>
      <c r="CBE18" s="228"/>
      <c r="CBF18" s="228"/>
      <c r="CBG18" s="226"/>
      <c r="CBH18" s="226"/>
      <c r="CBI18" s="224"/>
      <c r="CBJ18" s="225"/>
      <c r="CBK18" s="226"/>
      <c r="CBL18" s="227"/>
      <c r="CBM18" s="228"/>
      <c r="CBN18" s="228"/>
      <c r="CBO18" s="228"/>
      <c r="CBP18" s="228"/>
      <c r="CBQ18" s="228"/>
      <c r="CBR18" s="228"/>
      <c r="CBS18" s="226"/>
      <c r="CBT18" s="226"/>
      <c r="CBU18" s="224"/>
      <c r="CBV18" s="225"/>
      <c r="CBW18" s="226"/>
      <c r="CBX18" s="227"/>
      <c r="CBY18" s="228"/>
      <c r="CBZ18" s="228"/>
      <c r="CCA18" s="228"/>
      <c r="CCB18" s="228"/>
      <c r="CCC18" s="228"/>
      <c r="CCD18" s="228"/>
      <c r="CCE18" s="226"/>
      <c r="CCF18" s="226"/>
      <c r="CCG18" s="224"/>
      <c r="CCH18" s="225"/>
      <c r="CCI18" s="226"/>
      <c r="CCJ18" s="227"/>
      <c r="CCK18" s="228"/>
      <c r="CCL18" s="228"/>
      <c r="CCM18" s="228"/>
      <c r="CCN18" s="228"/>
      <c r="CCO18" s="228"/>
      <c r="CCP18" s="228"/>
      <c r="CCQ18" s="226"/>
      <c r="CCR18" s="226"/>
      <c r="CCS18" s="224"/>
      <c r="CCT18" s="225"/>
      <c r="CCU18" s="226"/>
      <c r="CCV18" s="227"/>
      <c r="CCW18" s="228"/>
      <c r="CCX18" s="228"/>
      <c r="CCY18" s="228"/>
      <c r="CCZ18" s="228"/>
      <c r="CDA18" s="228"/>
      <c r="CDB18" s="228"/>
      <c r="CDC18" s="226"/>
      <c r="CDD18" s="226"/>
      <c r="CDE18" s="224"/>
      <c r="CDF18" s="225"/>
      <c r="CDG18" s="226"/>
      <c r="CDH18" s="227"/>
      <c r="CDI18" s="228"/>
      <c r="CDJ18" s="228"/>
      <c r="CDK18" s="228"/>
      <c r="CDL18" s="228"/>
      <c r="CDM18" s="228"/>
      <c r="CDN18" s="228"/>
      <c r="CDO18" s="226"/>
      <c r="CDP18" s="226"/>
      <c r="CDQ18" s="224"/>
      <c r="CDR18" s="225"/>
      <c r="CDS18" s="226"/>
      <c r="CDT18" s="227"/>
      <c r="CDU18" s="228"/>
      <c r="CDV18" s="228"/>
      <c r="CDW18" s="228"/>
      <c r="CDX18" s="228"/>
      <c r="CDY18" s="228"/>
      <c r="CDZ18" s="228"/>
      <c r="CEA18" s="226"/>
      <c r="CEB18" s="226"/>
      <c r="CEC18" s="224"/>
      <c r="CED18" s="225"/>
      <c r="CEE18" s="226"/>
      <c r="CEF18" s="227"/>
      <c r="CEG18" s="228"/>
      <c r="CEH18" s="228"/>
      <c r="CEI18" s="228"/>
      <c r="CEJ18" s="228"/>
      <c r="CEK18" s="228"/>
      <c r="CEL18" s="228"/>
      <c r="CEM18" s="226"/>
      <c r="CEN18" s="226"/>
      <c r="CEO18" s="224"/>
      <c r="CEP18" s="225"/>
      <c r="CEQ18" s="226"/>
      <c r="CER18" s="227"/>
      <c r="CES18" s="228"/>
      <c r="CET18" s="228"/>
      <c r="CEU18" s="228"/>
      <c r="CEV18" s="228"/>
      <c r="CEW18" s="228"/>
      <c r="CEX18" s="228"/>
      <c r="CEY18" s="226"/>
      <c r="CEZ18" s="226"/>
      <c r="CFA18" s="224"/>
      <c r="CFB18" s="225"/>
      <c r="CFC18" s="226"/>
      <c r="CFD18" s="227"/>
      <c r="CFE18" s="228"/>
      <c r="CFF18" s="228"/>
      <c r="CFG18" s="228"/>
      <c r="CFH18" s="228"/>
      <c r="CFI18" s="228"/>
      <c r="CFJ18" s="228"/>
      <c r="CFK18" s="226"/>
      <c r="CFL18" s="226"/>
      <c r="CFM18" s="224"/>
      <c r="CFN18" s="225"/>
      <c r="CFO18" s="226"/>
      <c r="CFP18" s="227"/>
      <c r="CFQ18" s="228"/>
      <c r="CFR18" s="228"/>
      <c r="CFS18" s="228"/>
      <c r="CFT18" s="228"/>
      <c r="CFU18" s="228"/>
      <c r="CFV18" s="228"/>
      <c r="CFW18" s="226"/>
      <c r="CFX18" s="226"/>
      <c r="CFY18" s="224"/>
      <c r="CFZ18" s="225"/>
      <c r="CGA18" s="226"/>
      <c r="CGB18" s="227"/>
      <c r="CGC18" s="228"/>
      <c r="CGD18" s="228"/>
      <c r="CGE18" s="228"/>
      <c r="CGF18" s="228"/>
      <c r="CGG18" s="228"/>
      <c r="CGH18" s="228"/>
      <c r="CGI18" s="226"/>
      <c r="CGJ18" s="226"/>
      <c r="CGK18" s="224"/>
      <c r="CGL18" s="225"/>
      <c r="CGM18" s="226"/>
      <c r="CGN18" s="227"/>
      <c r="CGO18" s="228"/>
      <c r="CGP18" s="228"/>
      <c r="CGQ18" s="228"/>
      <c r="CGR18" s="228"/>
      <c r="CGS18" s="228"/>
      <c r="CGT18" s="228"/>
      <c r="CGU18" s="226"/>
      <c r="CGV18" s="226"/>
      <c r="CGW18" s="224"/>
      <c r="CGX18" s="225"/>
      <c r="CGY18" s="226"/>
      <c r="CGZ18" s="227"/>
      <c r="CHA18" s="228"/>
      <c r="CHB18" s="228"/>
      <c r="CHC18" s="228"/>
      <c r="CHD18" s="228"/>
      <c r="CHE18" s="228"/>
      <c r="CHF18" s="228"/>
      <c r="CHG18" s="226"/>
      <c r="CHH18" s="226"/>
      <c r="CHI18" s="224"/>
      <c r="CHJ18" s="225"/>
      <c r="CHK18" s="226"/>
      <c r="CHL18" s="227"/>
      <c r="CHM18" s="228"/>
      <c r="CHN18" s="228"/>
      <c r="CHO18" s="228"/>
      <c r="CHP18" s="228"/>
      <c r="CHQ18" s="228"/>
      <c r="CHR18" s="228"/>
      <c r="CHS18" s="226"/>
      <c r="CHT18" s="226"/>
      <c r="CHU18" s="224"/>
      <c r="CHV18" s="225"/>
      <c r="CHW18" s="226"/>
      <c r="CHX18" s="227"/>
      <c r="CHY18" s="228"/>
      <c r="CHZ18" s="228"/>
      <c r="CIA18" s="228"/>
      <c r="CIB18" s="228"/>
      <c r="CIC18" s="228"/>
      <c r="CID18" s="228"/>
      <c r="CIE18" s="226"/>
      <c r="CIF18" s="226"/>
      <c r="CIG18" s="224"/>
      <c r="CIH18" s="225"/>
      <c r="CII18" s="226"/>
      <c r="CIJ18" s="227"/>
      <c r="CIK18" s="228"/>
      <c r="CIL18" s="228"/>
      <c r="CIM18" s="228"/>
      <c r="CIN18" s="228"/>
      <c r="CIO18" s="228"/>
      <c r="CIP18" s="228"/>
      <c r="CIQ18" s="226"/>
      <c r="CIR18" s="226"/>
      <c r="CIS18" s="224"/>
      <c r="CIT18" s="225"/>
      <c r="CIU18" s="226"/>
      <c r="CIV18" s="227"/>
      <c r="CIW18" s="228"/>
      <c r="CIX18" s="228"/>
      <c r="CIY18" s="228"/>
      <c r="CIZ18" s="228"/>
      <c r="CJA18" s="228"/>
      <c r="CJB18" s="228"/>
      <c r="CJC18" s="226"/>
      <c r="CJD18" s="226"/>
      <c r="CJE18" s="224"/>
      <c r="CJF18" s="225"/>
      <c r="CJG18" s="226"/>
      <c r="CJH18" s="227"/>
      <c r="CJI18" s="228"/>
      <c r="CJJ18" s="228"/>
      <c r="CJK18" s="228"/>
      <c r="CJL18" s="228"/>
      <c r="CJM18" s="228"/>
      <c r="CJN18" s="228"/>
      <c r="CJO18" s="226"/>
      <c r="CJP18" s="226"/>
      <c r="CJQ18" s="224"/>
      <c r="CJR18" s="225"/>
      <c r="CJS18" s="226"/>
      <c r="CJT18" s="227"/>
      <c r="CJU18" s="228"/>
      <c r="CJV18" s="228"/>
      <c r="CJW18" s="228"/>
      <c r="CJX18" s="228"/>
      <c r="CJY18" s="228"/>
      <c r="CJZ18" s="228"/>
      <c r="CKA18" s="226"/>
      <c r="CKB18" s="226"/>
      <c r="CKC18" s="224"/>
      <c r="CKD18" s="225"/>
      <c r="CKE18" s="226"/>
      <c r="CKF18" s="227"/>
      <c r="CKG18" s="228"/>
      <c r="CKH18" s="228"/>
      <c r="CKI18" s="228"/>
      <c r="CKJ18" s="228"/>
      <c r="CKK18" s="228"/>
      <c r="CKL18" s="228"/>
      <c r="CKM18" s="226"/>
      <c r="CKN18" s="226"/>
      <c r="CKO18" s="224"/>
      <c r="CKP18" s="225"/>
      <c r="CKQ18" s="226"/>
      <c r="CKR18" s="227"/>
      <c r="CKS18" s="228"/>
      <c r="CKT18" s="228"/>
      <c r="CKU18" s="228"/>
      <c r="CKV18" s="228"/>
      <c r="CKW18" s="228"/>
      <c r="CKX18" s="228"/>
      <c r="CKY18" s="226"/>
      <c r="CKZ18" s="226"/>
      <c r="CLA18" s="224"/>
      <c r="CLB18" s="225"/>
      <c r="CLC18" s="226"/>
      <c r="CLD18" s="227"/>
      <c r="CLE18" s="228"/>
      <c r="CLF18" s="228"/>
      <c r="CLG18" s="228"/>
      <c r="CLH18" s="228"/>
      <c r="CLI18" s="228"/>
      <c r="CLJ18" s="228"/>
      <c r="CLK18" s="226"/>
      <c r="CLL18" s="226"/>
      <c r="CLM18" s="224"/>
      <c r="CLN18" s="225"/>
      <c r="CLO18" s="226"/>
      <c r="CLP18" s="227"/>
      <c r="CLQ18" s="228"/>
      <c r="CLR18" s="228"/>
      <c r="CLS18" s="228"/>
      <c r="CLT18" s="228"/>
      <c r="CLU18" s="228"/>
      <c r="CLV18" s="228"/>
      <c r="CLW18" s="226"/>
      <c r="CLX18" s="226"/>
      <c r="CLY18" s="224"/>
      <c r="CLZ18" s="225"/>
      <c r="CMA18" s="226"/>
      <c r="CMB18" s="227"/>
      <c r="CMC18" s="228"/>
      <c r="CMD18" s="228"/>
      <c r="CME18" s="228"/>
      <c r="CMF18" s="228"/>
      <c r="CMG18" s="228"/>
      <c r="CMH18" s="228"/>
      <c r="CMI18" s="226"/>
      <c r="CMJ18" s="226"/>
      <c r="CMK18" s="224"/>
      <c r="CML18" s="225"/>
      <c r="CMM18" s="226"/>
      <c r="CMN18" s="227"/>
      <c r="CMO18" s="228"/>
      <c r="CMP18" s="228"/>
      <c r="CMQ18" s="228"/>
      <c r="CMR18" s="228"/>
      <c r="CMS18" s="228"/>
      <c r="CMT18" s="228"/>
      <c r="CMU18" s="226"/>
      <c r="CMV18" s="226"/>
      <c r="CMW18" s="224"/>
      <c r="CMX18" s="225"/>
      <c r="CMY18" s="226"/>
      <c r="CMZ18" s="227"/>
      <c r="CNA18" s="228"/>
      <c r="CNB18" s="228"/>
      <c r="CNC18" s="228"/>
      <c r="CND18" s="228"/>
      <c r="CNE18" s="228"/>
      <c r="CNF18" s="228"/>
      <c r="CNG18" s="226"/>
      <c r="CNH18" s="226"/>
      <c r="CNI18" s="224"/>
      <c r="CNJ18" s="225"/>
      <c r="CNK18" s="226"/>
      <c r="CNL18" s="227"/>
      <c r="CNM18" s="228"/>
      <c r="CNN18" s="228"/>
      <c r="CNO18" s="228"/>
      <c r="CNP18" s="228"/>
      <c r="CNQ18" s="228"/>
      <c r="CNR18" s="228"/>
      <c r="CNS18" s="226"/>
      <c r="CNT18" s="226"/>
      <c r="CNU18" s="224"/>
      <c r="CNV18" s="225"/>
      <c r="CNW18" s="226"/>
      <c r="CNX18" s="227"/>
      <c r="CNY18" s="228"/>
      <c r="CNZ18" s="228"/>
      <c r="COA18" s="228"/>
      <c r="COB18" s="228"/>
      <c r="COC18" s="228"/>
      <c r="COD18" s="228"/>
      <c r="COE18" s="226"/>
      <c r="COF18" s="226"/>
      <c r="COG18" s="224"/>
      <c r="COH18" s="225"/>
      <c r="COI18" s="226"/>
      <c r="COJ18" s="227"/>
      <c r="COK18" s="228"/>
      <c r="COL18" s="228"/>
      <c r="COM18" s="228"/>
      <c r="CON18" s="228"/>
      <c r="COO18" s="228"/>
      <c r="COP18" s="228"/>
      <c r="COQ18" s="226"/>
      <c r="COR18" s="226"/>
      <c r="COS18" s="224"/>
      <c r="COT18" s="225"/>
      <c r="COU18" s="226"/>
      <c r="COV18" s="227"/>
      <c r="COW18" s="228"/>
      <c r="COX18" s="228"/>
      <c r="COY18" s="228"/>
      <c r="COZ18" s="228"/>
      <c r="CPA18" s="228"/>
      <c r="CPB18" s="228"/>
      <c r="CPC18" s="226"/>
      <c r="CPD18" s="226"/>
      <c r="CPE18" s="224"/>
      <c r="CPF18" s="225"/>
      <c r="CPG18" s="226"/>
      <c r="CPH18" s="227"/>
      <c r="CPI18" s="228"/>
      <c r="CPJ18" s="228"/>
      <c r="CPK18" s="228"/>
      <c r="CPL18" s="228"/>
      <c r="CPM18" s="228"/>
      <c r="CPN18" s="228"/>
      <c r="CPO18" s="226"/>
      <c r="CPP18" s="226"/>
      <c r="CPQ18" s="224"/>
      <c r="CPR18" s="225"/>
      <c r="CPS18" s="226"/>
      <c r="CPT18" s="227"/>
      <c r="CPU18" s="228"/>
      <c r="CPV18" s="228"/>
      <c r="CPW18" s="228"/>
      <c r="CPX18" s="228"/>
      <c r="CPY18" s="228"/>
      <c r="CPZ18" s="228"/>
      <c r="CQA18" s="226"/>
      <c r="CQB18" s="226"/>
      <c r="CQC18" s="224"/>
      <c r="CQD18" s="225"/>
      <c r="CQE18" s="226"/>
      <c r="CQF18" s="227"/>
      <c r="CQG18" s="228"/>
      <c r="CQH18" s="228"/>
      <c r="CQI18" s="228"/>
      <c r="CQJ18" s="228"/>
      <c r="CQK18" s="228"/>
      <c r="CQL18" s="228"/>
      <c r="CQM18" s="226"/>
      <c r="CQN18" s="226"/>
      <c r="CQO18" s="224"/>
      <c r="CQP18" s="225"/>
      <c r="CQQ18" s="226"/>
      <c r="CQR18" s="227"/>
      <c r="CQS18" s="228"/>
      <c r="CQT18" s="228"/>
      <c r="CQU18" s="228"/>
      <c r="CQV18" s="228"/>
      <c r="CQW18" s="228"/>
      <c r="CQX18" s="228"/>
      <c r="CQY18" s="226"/>
      <c r="CQZ18" s="226"/>
      <c r="CRA18" s="224"/>
      <c r="CRB18" s="225"/>
      <c r="CRC18" s="226"/>
      <c r="CRD18" s="227"/>
      <c r="CRE18" s="228"/>
      <c r="CRF18" s="228"/>
      <c r="CRG18" s="228"/>
      <c r="CRH18" s="228"/>
      <c r="CRI18" s="228"/>
      <c r="CRJ18" s="228"/>
      <c r="CRK18" s="226"/>
      <c r="CRL18" s="226"/>
      <c r="CRM18" s="224"/>
      <c r="CRN18" s="225"/>
      <c r="CRO18" s="226"/>
      <c r="CRP18" s="227"/>
      <c r="CRQ18" s="228"/>
      <c r="CRR18" s="228"/>
      <c r="CRS18" s="228"/>
      <c r="CRT18" s="228"/>
      <c r="CRU18" s="228"/>
      <c r="CRV18" s="228"/>
      <c r="CRW18" s="226"/>
      <c r="CRX18" s="226"/>
      <c r="CRY18" s="224"/>
      <c r="CRZ18" s="225"/>
      <c r="CSA18" s="226"/>
      <c r="CSB18" s="227"/>
      <c r="CSC18" s="228"/>
      <c r="CSD18" s="228"/>
      <c r="CSE18" s="228"/>
      <c r="CSF18" s="228"/>
      <c r="CSG18" s="228"/>
      <c r="CSH18" s="228"/>
      <c r="CSI18" s="226"/>
      <c r="CSJ18" s="226"/>
      <c r="CSK18" s="224"/>
      <c r="CSL18" s="225"/>
      <c r="CSM18" s="226"/>
      <c r="CSN18" s="227"/>
      <c r="CSO18" s="228"/>
      <c r="CSP18" s="228"/>
      <c r="CSQ18" s="228"/>
      <c r="CSR18" s="228"/>
      <c r="CSS18" s="228"/>
      <c r="CST18" s="228"/>
      <c r="CSU18" s="226"/>
      <c r="CSV18" s="226"/>
      <c r="CSW18" s="224"/>
      <c r="CSX18" s="225"/>
      <c r="CSY18" s="226"/>
      <c r="CSZ18" s="227"/>
      <c r="CTA18" s="228"/>
      <c r="CTB18" s="228"/>
      <c r="CTC18" s="228"/>
      <c r="CTD18" s="228"/>
      <c r="CTE18" s="228"/>
      <c r="CTF18" s="228"/>
      <c r="CTG18" s="226"/>
      <c r="CTH18" s="226"/>
      <c r="CTI18" s="224"/>
      <c r="CTJ18" s="225"/>
      <c r="CTK18" s="226"/>
      <c r="CTL18" s="227"/>
      <c r="CTM18" s="228"/>
      <c r="CTN18" s="228"/>
      <c r="CTO18" s="228"/>
      <c r="CTP18" s="228"/>
      <c r="CTQ18" s="228"/>
      <c r="CTR18" s="228"/>
      <c r="CTS18" s="226"/>
      <c r="CTT18" s="226"/>
      <c r="CTU18" s="224"/>
      <c r="CTV18" s="225"/>
      <c r="CTW18" s="226"/>
      <c r="CTX18" s="227"/>
      <c r="CTY18" s="228"/>
      <c r="CTZ18" s="228"/>
      <c r="CUA18" s="228"/>
      <c r="CUB18" s="228"/>
      <c r="CUC18" s="228"/>
      <c r="CUD18" s="228"/>
      <c r="CUE18" s="226"/>
      <c r="CUF18" s="226"/>
      <c r="CUG18" s="224"/>
      <c r="CUH18" s="225"/>
      <c r="CUI18" s="226"/>
      <c r="CUJ18" s="227"/>
      <c r="CUK18" s="228"/>
      <c r="CUL18" s="228"/>
      <c r="CUM18" s="228"/>
      <c r="CUN18" s="228"/>
      <c r="CUO18" s="228"/>
      <c r="CUP18" s="228"/>
      <c r="CUQ18" s="226"/>
      <c r="CUR18" s="226"/>
      <c r="CUS18" s="224"/>
      <c r="CUT18" s="225"/>
      <c r="CUU18" s="226"/>
      <c r="CUV18" s="227"/>
      <c r="CUW18" s="228"/>
      <c r="CUX18" s="228"/>
      <c r="CUY18" s="228"/>
      <c r="CUZ18" s="228"/>
      <c r="CVA18" s="228"/>
      <c r="CVB18" s="228"/>
      <c r="CVC18" s="226"/>
      <c r="CVD18" s="226"/>
      <c r="CVE18" s="224"/>
      <c r="CVF18" s="225"/>
      <c r="CVG18" s="226"/>
      <c r="CVH18" s="227"/>
      <c r="CVI18" s="228"/>
      <c r="CVJ18" s="228"/>
      <c r="CVK18" s="228"/>
      <c r="CVL18" s="228"/>
      <c r="CVM18" s="228"/>
      <c r="CVN18" s="228"/>
      <c r="CVO18" s="226"/>
      <c r="CVP18" s="226"/>
      <c r="CVQ18" s="224"/>
      <c r="CVR18" s="225"/>
      <c r="CVS18" s="226"/>
      <c r="CVT18" s="227"/>
      <c r="CVU18" s="228"/>
      <c r="CVV18" s="228"/>
      <c r="CVW18" s="228"/>
      <c r="CVX18" s="228"/>
      <c r="CVY18" s="228"/>
      <c r="CVZ18" s="228"/>
      <c r="CWA18" s="226"/>
      <c r="CWB18" s="226"/>
      <c r="CWC18" s="224"/>
      <c r="CWD18" s="225"/>
      <c r="CWE18" s="226"/>
      <c r="CWF18" s="227"/>
      <c r="CWG18" s="228"/>
      <c r="CWH18" s="228"/>
      <c r="CWI18" s="228"/>
      <c r="CWJ18" s="228"/>
      <c r="CWK18" s="228"/>
      <c r="CWL18" s="228"/>
      <c r="CWM18" s="226"/>
      <c r="CWN18" s="226"/>
      <c r="CWO18" s="224"/>
      <c r="CWP18" s="225"/>
      <c r="CWQ18" s="226"/>
      <c r="CWR18" s="227"/>
      <c r="CWS18" s="228"/>
      <c r="CWT18" s="228"/>
      <c r="CWU18" s="228"/>
      <c r="CWV18" s="228"/>
      <c r="CWW18" s="228"/>
      <c r="CWX18" s="228"/>
      <c r="CWY18" s="226"/>
      <c r="CWZ18" s="226"/>
      <c r="CXA18" s="224"/>
      <c r="CXB18" s="225"/>
      <c r="CXC18" s="226"/>
      <c r="CXD18" s="227"/>
      <c r="CXE18" s="228"/>
      <c r="CXF18" s="228"/>
      <c r="CXG18" s="228"/>
      <c r="CXH18" s="228"/>
      <c r="CXI18" s="228"/>
      <c r="CXJ18" s="228"/>
      <c r="CXK18" s="226"/>
      <c r="CXL18" s="226"/>
      <c r="CXM18" s="224"/>
      <c r="CXN18" s="225"/>
      <c r="CXO18" s="226"/>
      <c r="CXP18" s="227"/>
      <c r="CXQ18" s="228"/>
      <c r="CXR18" s="228"/>
      <c r="CXS18" s="228"/>
      <c r="CXT18" s="228"/>
      <c r="CXU18" s="228"/>
      <c r="CXV18" s="228"/>
      <c r="CXW18" s="226"/>
      <c r="CXX18" s="226"/>
      <c r="CXY18" s="224"/>
      <c r="CXZ18" s="225"/>
      <c r="CYA18" s="226"/>
      <c r="CYB18" s="227"/>
      <c r="CYC18" s="228"/>
      <c r="CYD18" s="228"/>
      <c r="CYE18" s="228"/>
      <c r="CYF18" s="228"/>
      <c r="CYG18" s="228"/>
      <c r="CYH18" s="228"/>
      <c r="CYI18" s="226"/>
      <c r="CYJ18" s="226"/>
      <c r="CYK18" s="224"/>
      <c r="CYL18" s="225"/>
      <c r="CYM18" s="226"/>
      <c r="CYN18" s="227"/>
      <c r="CYO18" s="228"/>
      <c r="CYP18" s="228"/>
      <c r="CYQ18" s="228"/>
      <c r="CYR18" s="228"/>
      <c r="CYS18" s="228"/>
      <c r="CYT18" s="228"/>
      <c r="CYU18" s="226"/>
      <c r="CYV18" s="226"/>
      <c r="CYW18" s="224"/>
      <c r="CYX18" s="225"/>
      <c r="CYY18" s="226"/>
      <c r="CYZ18" s="227"/>
      <c r="CZA18" s="228"/>
      <c r="CZB18" s="228"/>
      <c r="CZC18" s="228"/>
      <c r="CZD18" s="228"/>
      <c r="CZE18" s="228"/>
      <c r="CZF18" s="228"/>
      <c r="CZG18" s="226"/>
      <c r="CZH18" s="226"/>
      <c r="CZI18" s="224"/>
      <c r="CZJ18" s="225"/>
      <c r="CZK18" s="226"/>
      <c r="CZL18" s="227"/>
      <c r="CZM18" s="228"/>
      <c r="CZN18" s="228"/>
      <c r="CZO18" s="228"/>
      <c r="CZP18" s="228"/>
      <c r="CZQ18" s="228"/>
      <c r="CZR18" s="228"/>
      <c r="CZS18" s="226"/>
      <c r="CZT18" s="226"/>
      <c r="CZU18" s="224"/>
      <c r="CZV18" s="225"/>
      <c r="CZW18" s="226"/>
      <c r="CZX18" s="227"/>
      <c r="CZY18" s="228"/>
      <c r="CZZ18" s="228"/>
      <c r="DAA18" s="228"/>
      <c r="DAB18" s="228"/>
      <c r="DAC18" s="228"/>
      <c r="DAD18" s="228"/>
      <c r="DAE18" s="226"/>
      <c r="DAF18" s="226"/>
      <c r="DAG18" s="224"/>
      <c r="DAH18" s="225"/>
      <c r="DAI18" s="226"/>
      <c r="DAJ18" s="227"/>
      <c r="DAK18" s="228"/>
      <c r="DAL18" s="228"/>
      <c r="DAM18" s="228"/>
      <c r="DAN18" s="228"/>
      <c r="DAO18" s="228"/>
      <c r="DAP18" s="228"/>
      <c r="DAQ18" s="226"/>
      <c r="DAR18" s="226"/>
      <c r="DAS18" s="224"/>
      <c r="DAT18" s="225"/>
      <c r="DAU18" s="226"/>
      <c r="DAV18" s="227"/>
      <c r="DAW18" s="228"/>
      <c r="DAX18" s="228"/>
      <c r="DAY18" s="228"/>
      <c r="DAZ18" s="228"/>
      <c r="DBA18" s="228"/>
      <c r="DBB18" s="228"/>
      <c r="DBC18" s="226"/>
      <c r="DBD18" s="226"/>
      <c r="DBE18" s="224"/>
      <c r="DBF18" s="225"/>
      <c r="DBG18" s="226"/>
      <c r="DBH18" s="227"/>
      <c r="DBI18" s="228"/>
      <c r="DBJ18" s="228"/>
      <c r="DBK18" s="228"/>
      <c r="DBL18" s="228"/>
      <c r="DBM18" s="228"/>
      <c r="DBN18" s="228"/>
      <c r="DBO18" s="226"/>
      <c r="DBP18" s="226"/>
      <c r="DBQ18" s="224"/>
      <c r="DBR18" s="225"/>
      <c r="DBS18" s="226"/>
      <c r="DBT18" s="227"/>
      <c r="DBU18" s="228"/>
      <c r="DBV18" s="228"/>
      <c r="DBW18" s="228"/>
      <c r="DBX18" s="228"/>
      <c r="DBY18" s="228"/>
      <c r="DBZ18" s="228"/>
      <c r="DCA18" s="226"/>
      <c r="DCB18" s="226"/>
      <c r="DCC18" s="224"/>
      <c r="DCD18" s="225"/>
      <c r="DCE18" s="226"/>
      <c r="DCF18" s="227"/>
      <c r="DCG18" s="228"/>
      <c r="DCH18" s="228"/>
      <c r="DCI18" s="228"/>
      <c r="DCJ18" s="228"/>
      <c r="DCK18" s="228"/>
      <c r="DCL18" s="228"/>
      <c r="DCM18" s="226"/>
      <c r="DCN18" s="226"/>
      <c r="DCO18" s="224"/>
      <c r="DCP18" s="225"/>
      <c r="DCQ18" s="226"/>
      <c r="DCR18" s="227"/>
      <c r="DCS18" s="228"/>
      <c r="DCT18" s="228"/>
      <c r="DCU18" s="228"/>
      <c r="DCV18" s="228"/>
      <c r="DCW18" s="228"/>
      <c r="DCX18" s="228"/>
      <c r="DCY18" s="226"/>
      <c r="DCZ18" s="226"/>
      <c r="DDA18" s="224"/>
      <c r="DDB18" s="225"/>
      <c r="DDC18" s="226"/>
      <c r="DDD18" s="227"/>
      <c r="DDE18" s="228"/>
      <c r="DDF18" s="228"/>
      <c r="DDG18" s="228"/>
      <c r="DDH18" s="228"/>
      <c r="DDI18" s="228"/>
      <c r="DDJ18" s="228"/>
      <c r="DDK18" s="226"/>
      <c r="DDL18" s="226"/>
      <c r="DDM18" s="224"/>
      <c r="DDN18" s="225"/>
      <c r="DDO18" s="226"/>
      <c r="DDP18" s="227"/>
      <c r="DDQ18" s="228"/>
      <c r="DDR18" s="228"/>
      <c r="DDS18" s="228"/>
      <c r="DDT18" s="228"/>
      <c r="DDU18" s="228"/>
      <c r="DDV18" s="228"/>
      <c r="DDW18" s="226"/>
      <c r="DDX18" s="226"/>
      <c r="DDY18" s="224"/>
      <c r="DDZ18" s="225"/>
      <c r="DEA18" s="226"/>
      <c r="DEB18" s="227"/>
      <c r="DEC18" s="228"/>
      <c r="DED18" s="228"/>
      <c r="DEE18" s="228"/>
      <c r="DEF18" s="228"/>
      <c r="DEG18" s="228"/>
      <c r="DEH18" s="228"/>
      <c r="DEI18" s="226"/>
      <c r="DEJ18" s="226"/>
      <c r="DEK18" s="224"/>
      <c r="DEL18" s="225"/>
      <c r="DEM18" s="226"/>
      <c r="DEN18" s="227"/>
      <c r="DEO18" s="228"/>
      <c r="DEP18" s="228"/>
      <c r="DEQ18" s="228"/>
      <c r="DER18" s="228"/>
      <c r="DES18" s="228"/>
      <c r="DET18" s="228"/>
      <c r="DEU18" s="226"/>
      <c r="DEV18" s="226"/>
      <c r="DEW18" s="224"/>
      <c r="DEX18" s="225"/>
      <c r="DEY18" s="226"/>
      <c r="DEZ18" s="227"/>
      <c r="DFA18" s="228"/>
      <c r="DFB18" s="228"/>
      <c r="DFC18" s="228"/>
      <c r="DFD18" s="228"/>
      <c r="DFE18" s="228"/>
      <c r="DFF18" s="228"/>
      <c r="DFG18" s="226"/>
      <c r="DFH18" s="226"/>
      <c r="DFI18" s="224"/>
      <c r="DFJ18" s="225"/>
      <c r="DFK18" s="226"/>
      <c r="DFL18" s="227"/>
      <c r="DFM18" s="228"/>
      <c r="DFN18" s="228"/>
      <c r="DFO18" s="228"/>
      <c r="DFP18" s="228"/>
      <c r="DFQ18" s="228"/>
      <c r="DFR18" s="228"/>
      <c r="DFS18" s="226"/>
      <c r="DFT18" s="226"/>
      <c r="DFU18" s="224"/>
      <c r="DFV18" s="225"/>
      <c r="DFW18" s="226"/>
      <c r="DFX18" s="227"/>
      <c r="DFY18" s="228"/>
      <c r="DFZ18" s="228"/>
      <c r="DGA18" s="228"/>
      <c r="DGB18" s="228"/>
      <c r="DGC18" s="228"/>
      <c r="DGD18" s="228"/>
      <c r="DGE18" s="226"/>
      <c r="DGF18" s="226"/>
      <c r="DGG18" s="224"/>
      <c r="DGH18" s="225"/>
      <c r="DGI18" s="226"/>
      <c r="DGJ18" s="227"/>
      <c r="DGK18" s="228"/>
      <c r="DGL18" s="228"/>
      <c r="DGM18" s="228"/>
      <c r="DGN18" s="228"/>
      <c r="DGO18" s="228"/>
      <c r="DGP18" s="228"/>
      <c r="DGQ18" s="226"/>
      <c r="DGR18" s="226"/>
      <c r="DGS18" s="224"/>
      <c r="DGT18" s="225"/>
      <c r="DGU18" s="226"/>
      <c r="DGV18" s="227"/>
      <c r="DGW18" s="228"/>
      <c r="DGX18" s="228"/>
      <c r="DGY18" s="228"/>
      <c r="DGZ18" s="228"/>
      <c r="DHA18" s="228"/>
      <c r="DHB18" s="228"/>
      <c r="DHC18" s="226"/>
      <c r="DHD18" s="226"/>
      <c r="DHE18" s="224"/>
      <c r="DHF18" s="225"/>
      <c r="DHG18" s="226"/>
      <c r="DHH18" s="227"/>
      <c r="DHI18" s="228"/>
      <c r="DHJ18" s="228"/>
      <c r="DHK18" s="228"/>
      <c r="DHL18" s="228"/>
      <c r="DHM18" s="228"/>
      <c r="DHN18" s="228"/>
      <c r="DHO18" s="226"/>
      <c r="DHP18" s="226"/>
      <c r="DHQ18" s="224"/>
      <c r="DHR18" s="225"/>
      <c r="DHS18" s="226"/>
      <c r="DHT18" s="227"/>
      <c r="DHU18" s="228"/>
      <c r="DHV18" s="228"/>
      <c r="DHW18" s="228"/>
      <c r="DHX18" s="228"/>
      <c r="DHY18" s="228"/>
      <c r="DHZ18" s="228"/>
      <c r="DIA18" s="226"/>
      <c r="DIB18" s="226"/>
      <c r="DIC18" s="224"/>
      <c r="DID18" s="225"/>
      <c r="DIE18" s="226"/>
      <c r="DIF18" s="227"/>
      <c r="DIG18" s="228"/>
      <c r="DIH18" s="228"/>
      <c r="DII18" s="228"/>
      <c r="DIJ18" s="228"/>
      <c r="DIK18" s="228"/>
      <c r="DIL18" s="228"/>
      <c r="DIM18" s="226"/>
      <c r="DIN18" s="226"/>
      <c r="DIO18" s="224"/>
      <c r="DIP18" s="225"/>
      <c r="DIQ18" s="226"/>
      <c r="DIR18" s="227"/>
      <c r="DIS18" s="228"/>
      <c r="DIT18" s="228"/>
      <c r="DIU18" s="228"/>
      <c r="DIV18" s="228"/>
      <c r="DIW18" s="228"/>
      <c r="DIX18" s="228"/>
      <c r="DIY18" s="226"/>
      <c r="DIZ18" s="226"/>
      <c r="DJA18" s="224"/>
      <c r="DJB18" s="225"/>
      <c r="DJC18" s="226"/>
      <c r="DJD18" s="227"/>
      <c r="DJE18" s="228"/>
      <c r="DJF18" s="228"/>
      <c r="DJG18" s="228"/>
      <c r="DJH18" s="228"/>
      <c r="DJI18" s="228"/>
      <c r="DJJ18" s="228"/>
      <c r="DJK18" s="226"/>
      <c r="DJL18" s="226"/>
      <c r="DJM18" s="224"/>
      <c r="DJN18" s="225"/>
      <c r="DJO18" s="226"/>
      <c r="DJP18" s="227"/>
      <c r="DJQ18" s="228"/>
      <c r="DJR18" s="228"/>
      <c r="DJS18" s="228"/>
      <c r="DJT18" s="228"/>
      <c r="DJU18" s="228"/>
      <c r="DJV18" s="228"/>
      <c r="DJW18" s="226"/>
      <c r="DJX18" s="226"/>
      <c r="DJY18" s="224"/>
      <c r="DJZ18" s="225"/>
      <c r="DKA18" s="226"/>
      <c r="DKB18" s="227"/>
      <c r="DKC18" s="228"/>
      <c r="DKD18" s="228"/>
      <c r="DKE18" s="228"/>
      <c r="DKF18" s="228"/>
      <c r="DKG18" s="228"/>
      <c r="DKH18" s="228"/>
      <c r="DKI18" s="226"/>
      <c r="DKJ18" s="226"/>
      <c r="DKK18" s="224"/>
      <c r="DKL18" s="225"/>
      <c r="DKM18" s="226"/>
      <c r="DKN18" s="227"/>
      <c r="DKO18" s="228"/>
      <c r="DKP18" s="228"/>
      <c r="DKQ18" s="228"/>
      <c r="DKR18" s="228"/>
      <c r="DKS18" s="228"/>
      <c r="DKT18" s="228"/>
      <c r="DKU18" s="226"/>
      <c r="DKV18" s="226"/>
      <c r="DKW18" s="224"/>
      <c r="DKX18" s="225"/>
      <c r="DKY18" s="226"/>
      <c r="DKZ18" s="227"/>
      <c r="DLA18" s="228"/>
      <c r="DLB18" s="228"/>
      <c r="DLC18" s="228"/>
      <c r="DLD18" s="228"/>
      <c r="DLE18" s="228"/>
      <c r="DLF18" s="228"/>
      <c r="DLG18" s="226"/>
      <c r="DLH18" s="226"/>
      <c r="DLI18" s="224"/>
      <c r="DLJ18" s="225"/>
      <c r="DLK18" s="226"/>
      <c r="DLL18" s="227"/>
      <c r="DLM18" s="228"/>
      <c r="DLN18" s="228"/>
      <c r="DLO18" s="228"/>
      <c r="DLP18" s="228"/>
      <c r="DLQ18" s="228"/>
      <c r="DLR18" s="228"/>
      <c r="DLS18" s="226"/>
      <c r="DLT18" s="226"/>
      <c r="DLU18" s="224"/>
      <c r="DLV18" s="225"/>
      <c r="DLW18" s="226"/>
      <c r="DLX18" s="227"/>
      <c r="DLY18" s="228"/>
      <c r="DLZ18" s="228"/>
      <c r="DMA18" s="228"/>
      <c r="DMB18" s="228"/>
      <c r="DMC18" s="228"/>
      <c r="DMD18" s="228"/>
      <c r="DME18" s="226"/>
      <c r="DMF18" s="226"/>
      <c r="DMG18" s="224"/>
      <c r="DMH18" s="225"/>
      <c r="DMI18" s="226"/>
      <c r="DMJ18" s="227"/>
      <c r="DMK18" s="228"/>
      <c r="DML18" s="228"/>
      <c r="DMM18" s="228"/>
      <c r="DMN18" s="228"/>
      <c r="DMO18" s="228"/>
      <c r="DMP18" s="228"/>
      <c r="DMQ18" s="226"/>
      <c r="DMR18" s="226"/>
      <c r="DMS18" s="224"/>
      <c r="DMT18" s="225"/>
      <c r="DMU18" s="226"/>
      <c r="DMV18" s="227"/>
      <c r="DMW18" s="228"/>
      <c r="DMX18" s="228"/>
      <c r="DMY18" s="228"/>
      <c r="DMZ18" s="228"/>
      <c r="DNA18" s="228"/>
      <c r="DNB18" s="228"/>
      <c r="DNC18" s="226"/>
      <c r="DND18" s="226"/>
      <c r="DNE18" s="224"/>
      <c r="DNF18" s="225"/>
      <c r="DNG18" s="226"/>
      <c r="DNH18" s="227"/>
      <c r="DNI18" s="228"/>
      <c r="DNJ18" s="228"/>
      <c r="DNK18" s="228"/>
      <c r="DNL18" s="228"/>
      <c r="DNM18" s="228"/>
      <c r="DNN18" s="228"/>
      <c r="DNO18" s="226"/>
      <c r="DNP18" s="226"/>
      <c r="DNQ18" s="224"/>
      <c r="DNR18" s="225"/>
      <c r="DNS18" s="226"/>
      <c r="DNT18" s="227"/>
      <c r="DNU18" s="228"/>
      <c r="DNV18" s="228"/>
      <c r="DNW18" s="228"/>
      <c r="DNX18" s="228"/>
      <c r="DNY18" s="228"/>
      <c r="DNZ18" s="228"/>
      <c r="DOA18" s="226"/>
      <c r="DOB18" s="226"/>
      <c r="DOC18" s="224"/>
      <c r="DOD18" s="225"/>
      <c r="DOE18" s="226"/>
      <c r="DOF18" s="227"/>
      <c r="DOG18" s="228"/>
      <c r="DOH18" s="228"/>
      <c r="DOI18" s="228"/>
      <c r="DOJ18" s="228"/>
      <c r="DOK18" s="228"/>
      <c r="DOL18" s="228"/>
      <c r="DOM18" s="226"/>
      <c r="DON18" s="226"/>
      <c r="DOO18" s="224"/>
      <c r="DOP18" s="225"/>
      <c r="DOQ18" s="226"/>
      <c r="DOR18" s="227"/>
      <c r="DOS18" s="228"/>
      <c r="DOT18" s="228"/>
      <c r="DOU18" s="228"/>
      <c r="DOV18" s="228"/>
      <c r="DOW18" s="228"/>
      <c r="DOX18" s="228"/>
      <c r="DOY18" s="226"/>
      <c r="DOZ18" s="226"/>
      <c r="DPA18" s="224"/>
      <c r="DPB18" s="225"/>
      <c r="DPC18" s="226"/>
      <c r="DPD18" s="227"/>
      <c r="DPE18" s="228"/>
      <c r="DPF18" s="228"/>
      <c r="DPG18" s="228"/>
      <c r="DPH18" s="228"/>
      <c r="DPI18" s="228"/>
      <c r="DPJ18" s="228"/>
      <c r="DPK18" s="226"/>
      <c r="DPL18" s="226"/>
      <c r="DPM18" s="224"/>
      <c r="DPN18" s="225"/>
      <c r="DPO18" s="226"/>
      <c r="DPP18" s="227"/>
      <c r="DPQ18" s="228"/>
      <c r="DPR18" s="228"/>
      <c r="DPS18" s="228"/>
      <c r="DPT18" s="228"/>
      <c r="DPU18" s="228"/>
      <c r="DPV18" s="228"/>
      <c r="DPW18" s="226"/>
      <c r="DPX18" s="226"/>
      <c r="DPY18" s="224"/>
      <c r="DPZ18" s="225"/>
      <c r="DQA18" s="226"/>
      <c r="DQB18" s="227"/>
      <c r="DQC18" s="228"/>
      <c r="DQD18" s="228"/>
      <c r="DQE18" s="228"/>
      <c r="DQF18" s="228"/>
      <c r="DQG18" s="228"/>
      <c r="DQH18" s="228"/>
      <c r="DQI18" s="226"/>
      <c r="DQJ18" s="226"/>
      <c r="DQK18" s="224"/>
      <c r="DQL18" s="225"/>
      <c r="DQM18" s="226"/>
      <c r="DQN18" s="227"/>
      <c r="DQO18" s="228"/>
      <c r="DQP18" s="228"/>
      <c r="DQQ18" s="228"/>
      <c r="DQR18" s="228"/>
      <c r="DQS18" s="228"/>
      <c r="DQT18" s="228"/>
      <c r="DQU18" s="226"/>
      <c r="DQV18" s="226"/>
      <c r="DQW18" s="224"/>
      <c r="DQX18" s="225"/>
      <c r="DQY18" s="226"/>
      <c r="DQZ18" s="227"/>
      <c r="DRA18" s="228"/>
      <c r="DRB18" s="228"/>
      <c r="DRC18" s="228"/>
      <c r="DRD18" s="228"/>
      <c r="DRE18" s="228"/>
      <c r="DRF18" s="228"/>
      <c r="DRG18" s="226"/>
      <c r="DRH18" s="226"/>
      <c r="DRI18" s="224"/>
      <c r="DRJ18" s="225"/>
      <c r="DRK18" s="226"/>
      <c r="DRL18" s="227"/>
      <c r="DRM18" s="228"/>
      <c r="DRN18" s="228"/>
      <c r="DRO18" s="228"/>
      <c r="DRP18" s="228"/>
      <c r="DRQ18" s="228"/>
      <c r="DRR18" s="228"/>
      <c r="DRS18" s="226"/>
      <c r="DRT18" s="226"/>
      <c r="DRU18" s="224"/>
      <c r="DRV18" s="225"/>
      <c r="DRW18" s="226"/>
      <c r="DRX18" s="227"/>
      <c r="DRY18" s="228"/>
      <c r="DRZ18" s="228"/>
      <c r="DSA18" s="228"/>
      <c r="DSB18" s="228"/>
      <c r="DSC18" s="228"/>
      <c r="DSD18" s="228"/>
      <c r="DSE18" s="226"/>
      <c r="DSF18" s="226"/>
      <c r="DSG18" s="224"/>
      <c r="DSH18" s="225"/>
      <c r="DSI18" s="226"/>
      <c r="DSJ18" s="227"/>
      <c r="DSK18" s="228"/>
      <c r="DSL18" s="228"/>
      <c r="DSM18" s="228"/>
      <c r="DSN18" s="228"/>
      <c r="DSO18" s="228"/>
      <c r="DSP18" s="228"/>
      <c r="DSQ18" s="226"/>
      <c r="DSR18" s="226"/>
      <c r="DSS18" s="224"/>
      <c r="DST18" s="225"/>
      <c r="DSU18" s="226"/>
      <c r="DSV18" s="227"/>
      <c r="DSW18" s="228"/>
      <c r="DSX18" s="228"/>
      <c r="DSY18" s="228"/>
      <c r="DSZ18" s="228"/>
      <c r="DTA18" s="228"/>
      <c r="DTB18" s="228"/>
      <c r="DTC18" s="226"/>
      <c r="DTD18" s="226"/>
      <c r="DTE18" s="224"/>
      <c r="DTF18" s="225"/>
      <c r="DTG18" s="226"/>
      <c r="DTH18" s="227"/>
      <c r="DTI18" s="228"/>
      <c r="DTJ18" s="228"/>
      <c r="DTK18" s="228"/>
      <c r="DTL18" s="228"/>
      <c r="DTM18" s="228"/>
      <c r="DTN18" s="228"/>
      <c r="DTO18" s="226"/>
      <c r="DTP18" s="226"/>
      <c r="DTQ18" s="224"/>
      <c r="DTR18" s="225"/>
      <c r="DTS18" s="226"/>
      <c r="DTT18" s="227"/>
      <c r="DTU18" s="228"/>
      <c r="DTV18" s="228"/>
      <c r="DTW18" s="228"/>
      <c r="DTX18" s="228"/>
      <c r="DTY18" s="228"/>
      <c r="DTZ18" s="228"/>
      <c r="DUA18" s="226"/>
      <c r="DUB18" s="226"/>
      <c r="DUC18" s="224"/>
      <c r="DUD18" s="225"/>
      <c r="DUE18" s="226"/>
      <c r="DUF18" s="227"/>
      <c r="DUG18" s="228"/>
      <c r="DUH18" s="228"/>
      <c r="DUI18" s="228"/>
      <c r="DUJ18" s="228"/>
      <c r="DUK18" s="228"/>
      <c r="DUL18" s="228"/>
      <c r="DUM18" s="226"/>
      <c r="DUN18" s="226"/>
      <c r="DUO18" s="224"/>
      <c r="DUP18" s="225"/>
      <c r="DUQ18" s="226"/>
      <c r="DUR18" s="227"/>
      <c r="DUS18" s="228"/>
      <c r="DUT18" s="228"/>
      <c r="DUU18" s="228"/>
      <c r="DUV18" s="228"/>
      <c r="DUW18" s="228"/>
      <c r="DUX18" s="228"/>
      <c r="DUY18" s="226"/>
      <c r="DUZ18" s="226"/>
      <c r="DVA18" s="224"/>
      <c r="DVB18" s="225"/>
      <c r="DVC18" s="226"/>
      <c r="DVD18" s="227"/>
      <c r="DVE18" s="228"/>
      <c r="DVF18" s="228"/>
      <c r="DVG18" s="228"/>
      <c r="DVH18" s="228"/>
      <c r="DVI18" s="228"/>
      <c r="DVJ18" s="228"/>
      <c r="DVK18" s="226"/>
      <c r="DVL18" s="226"/>
      <c r="DVM18" s="224"/>
      <c r="DVN18" s="225"/>
      <c r="DVO18" s="226"/>
      <c r="DVP18" s="227"/>
      <c r="DVQ18" s="228"/>
      <c r="DVR18" s="228"/>
      <c r="DVS18" s="228"/>
      <c r="DVT18" s="228"/>
      <c r="DVU18" s="228"/>
      <c r="DVV18" s="228"/>
      <c r="DVW18" s="226"/>
      <c r="DVX18" s="226"/>
      <c r="DVY18" s="224"/>
      <c r="DVZ18" s="225"/>
      <c r="DWA18" s="226"/>
      <c r="DWB18" s="227"/>
      <c r="DWC18" s="228"/>
      <c r="DWD18" s="228"/>
      <c r="DWE18" s="228"/>
      <c r="DWF18" s="228"/>
      <c r="DWG18" s="228"/>
      <c r="DWH18" s="228"/>
      <c r="DWI18" s="226"/>
      <c r="DWJ18" s="226"/>
      <c r="DWK18" s="224"/>
      <c r="DWL18" s="225"/>
      <c r="DWM18" s="226"/>
      <c r="DWN18" s="227"/>
      <c r="DWO18" s="228"/>
      <c r="DWP18" s="228"/>
      <c r="DWQ18" s="228"/>
      <c r="DWR18" s="228"/>
      <c r="DWS18" s="228"/>
      <c r="DWT18" s="228"/>
      <c r="DWU18" s="226"/>
      <c r="DWV18" s="226"/>
      <c r="DWW18" s="224"/>
      <c r="DWX18" s="225"/>
      <c r="DWY18" s="226"/>
      <c r="DWZ18" s="227"/>
      <c r="DXA18" s="228"/>
      <c r="DXB18" s="228"/>
      <c r="DXC18" s="228"/>
      <c r="DXD18" s="228"/>
      <c r="DXE18" s="228"/>
      <c r="DXF18" s="228"/>
      <c r="DXG18" s="226"/>
      <c r="DXH18" s="226"/>
      <c r="DXI18" s="224"/>
      <c r="DXJ18" s="225"/>
      <c r="DXK18" s="226"/>
      <c r="DXL18" s="227"/>
      <c r="DXM18" s="228"/>
      <c r="DXN18" s="228"/>
      <c r="DXO18" s="228"/>
      <c r="DXP18" s="228"/>
      <c r="DXQ18" s="228"/>
      <c r="DXR18" s="228"/>
      <c r="DXS18" s="226"/>
      <c r="DXT18" s="226"/>
      <c r="DXU18" s="224"/>
      <c r="DXV18" s="225"/>
      <c r="DXW18" s="226"/>
      <c r="DXX18" s="227"/>
      <c r="DXY18" s="228"/>
      <c r="DXZ18" s="228"/>
      <c r="DYA18" s="228"/>
      <c r="DYB18" s="228"/>
      <c r="DYC18" s="228"/>
      <c r="DYD18" s="228"/>
      <c r="DYE18" s="226"/>
      <c r="DYF18" s="226"/>
      <c r="DYG18" s="224"/>
      <c r="DYH18" s="225"/>
      <c r="DYI18" s="226"/>
      <c r="DYJ18" s="227"/>
      <c r="DYK18" s="228"/>
      <c r="DYL18" s="228"/>
      <c r="DYM18" s="228"/>
      <c r="DYN18" s="228"/>
      <c r="DYO18" s="228"/>
      <c r="DYP18" s="228"/>
      <c r="DYQ18" s="226"/>
      <c r="DYR18" s="226"/>
      <c r="DYS18" s="224"/>
      <c r="DYT18" s="225"/>
      <c r="DYU18" s="226"/>
      <c r="DYV18" s="227"/>
      <c r="DYW18" s="228"/>
      <c r="DYX18" s="228"/>
      <c r="DYY18" s="228"/>
      <c r="DYZ18" s="228"/>
      <c r="DZA18" s="228"/>
      <c r="DZB18" s="228"/>
      <c r="DZC18" s="226"/>
      <c r="DZD18" s="226"/>
      <c r="DZE18" s="224"/>
      <c r="DZF18" s="225"/>
      <c r="DZG18" s="226"/>
      <c r="DZH18" s="227"/>
      <c r="DZI18" s="228"/>
      <c r="DZJ18" s="228"/>
      <c r="DZK18" s="228"/>
      <c r="DZL18" s="228"/>
      <c r="DZM18" s="228"/>
      <c r="DZN18" s="228"/>
      <c r="DZO18" s="226"/>
      <c r="DZP18" s="226"/>
      <c r="DZQ18" s="224"/>
      <c r="DZR18" s="225"/>
      <c r="DZS18" s="226"/>
      <c r="DZT18" s="227"/>
      <c r="DZU18" s="228"/>
      <c r="DZV18" s="228"/>
      <c r="DZW18" s="228"/>
      <c r="DZX18" s="228"/>
      <c r="DZY18" s="228"/>
      <c r="DZZ18" s="228"/>
      <c r="EAA18" s="226"/>
      <c r="EAB18" s="226"/>
      <c r="EAC18" s="224"/>
      <c r="EAD18" s="225"/>
      <c r="EAE18" s="226"/>
      <c r="EAF18" s="227"/>
      <c r="EAG18" s="228"/>
      <c r="EAH18" s="228"/>
      <c r="EAI18" s="228"/>
      <c r="EAJ18" s="228"/>
      <c r="EAK18" s="228"/>
      <c r="EAL18" s="228"/>
      <c r="EAM18" s="226"/>
      <c r="EAN18" s="226"/>
      <c r="EAO18" s="224"/>
      <c r="EAP18" s="225"/>
      <c r="EAQ18" s="226"/>
      <c r="EAR18" s="227"/>
      <c r="EAS18" s="228"/>
      <c r="EAT18" s="228"/>
      <c r="EAU18" s="228"/>
      <c r="EAV18" s="228"/>
      <c r="EAW18" s="228"/>
      <c r="EAX18" s="228"/>
      <c r="EAY18" s="226"/>
      <c r="EAZ18" s="226"/>
      <c r="EBA18" s="224"/>
      <c r="EBB18" s="225"/>
      <c r="EBC18" s="226"/>
      <c r="EBD18" s="227"/>
      <c r="EBE18" s="228"/>
      <c r="EBF18" s="228"/>
      <c r="EBG18" s="228"/>
      <c r="EBH18" s="228"/>
      <c r="EBI18" s="228"/>
      <c r="EBJ18" s="228"/>
      <c r="EBK18" s="226"/>
      <c r="EBL18" s="226"/>
      <c r="EBM18" s="224"/>
      <c r="EBN18" s="225"/>
      <c r="EBO18" s="226"/>
      <c r="EBP18" s="227"/>
      <c r="EBQ18" s="228"/>
      <c r="EBR18" s="228"/>
      <c r="EBS18" s="228"/>
      <c r="EBT18" s="228"/>
      <c r="EBU18" s="228"/>
      <c r="EBV18" s="228"/>
      <c r="EBW18" s="226"/>
      <c r="EBX18" s="226"/>
      <c r="EBY18" s="224"/>
      <c r="EBZ18" s="225"/>
      <c r="ECA18" s="226"/>
      <c r="ECB18" s="227"/>
      <c r="ECC18" s="228"/>
      <c r="ECD18" s="228"/>
      <c r="ECE18" s="228"/>
      <c r="ECF18" s="228"/>
      <c r="ECG18" s="228"/>
      <c r="ECH18" s="228"/>
      <c r="ECI18" s="226"/>
      <c r="ECJ18" s="226"/>
      <c r="ECK18" s="224"/>
      <c r="ECL18" s="225"/>
      <c r="ECM18" s="226"/>
      <c r="ECN18" s="227"/>
      <c r="ECO18" s="228"/>
      <c r="ECP18" s="228"/>
      <c r="ECQ18" s="228"/>
      <c r="ECR18" s="228"/>
      <c r="ECS18" s="228"/>
      <c r="ECT18" s="228"/>
      <c r="ECU18" s="226"/>
      <c r="ECV18" s="226"/>
      <c r="ECW18" s="224"/>
      <c r="ECX18" s="225"/>
      <c r="ECY18" s="226"/>
      <c r="ECZ18" s="227"/>
      <c r="EDA18" s="228"/>
      <c r="EDB18" s="228"/>
      <c r="EDC18" s="228"/>
      <c r="EDD18" s="228"/>
      <c r="EDE18" s="228"/>
      <c r="EDF18" s="228"/>
      <c r="EDG18" s="226"/>
      <c r="EDH18" s="226"/>
      <c r="EDI18" s="224"/>
      <c r="EDJ18" s="225"/>
      <c r="EDK18" s="226"/>
      <c r="EDL18" s="227"/>
      <c r="EDM18" s="228"/>
      <c r="EDN18" s="228"/>
      <c r="EDO18" s="228"/>
      <c r="EDP18" s="228"/>
      <c r="EDQ18" s="228"/>
      <c r="EDR18" s="228"/>
      <c r="EDS18" s="226"/>
      <c r="EDT18" s="226"/>
      <c r="EDU18" s="224"/>
      <c r="EDV18" s="225"/>
      <c r="EDW18" s="226"/>
      <c r="EDX18" s="227"/>
      <c r="EDY18" s="228"/>
      <c r="EDZ18" s="228"/>
      <c r="EEA18" s="228"/>
      <c r="EEB18" s="228"/>
      <c r="EEC18" s="228"/>
      <c r="EED18" s="228"/>
      <c r="EEE18" s="226"/>
      <c r="EEF18" s="226"/>
      <c r="EEG18" s="224"/>
      <c r="EEH18" s="225"/>
      <c r="EEI18" s="226"/>
      <c r="EEJ18" s="227"/>
      <c r="EEK18" s="228"/>
      <c r="EEL18" s="228"/>
      <c r="EEM18" s="228"/>
      <c r="EEN18" s="228"/>
      <c r="EEO18" s="228"/>
      <c r="EEP18" s="228"/>
      <c r="EEQ18" s="226"/>
      <c r="EER18" s="226"/>
      <c r="EES18" s="224"/>
      <c r="EET18" s="225"/>
      <c r="EEU18" s="226"/>
      <c r="EEV18" s="227"/>
      <c r="EEW18" s="228"/>
      <c r="EEX18" s="228"/>
      <c r="EEY18" s="228"/>
      <c r="EEZ18" s="228"/>
      <c r="EFA18" s="228"/>
      <c r="EFB18" s="228"/>
      <c r="EFC18" s="226"/>
      <c r="EFD18" s="226"/>
      <c r="EFE18" s="224"/>
      <c r="EFF18" s="225"/>
      <c r="EFG18" s="226"/>
      <c r="EFH18" s="227"/>
      <c r="EFI18" s="228"/>
      <c r="EFJ18" s="228"/>
      <c r="EFK18" s="228"/>
      <c r="EFL18" s="228"/>
      <c r="EFM18" s="228"/>
      <c r="EFN18" s="228"/>
      <c r="EFO18" s="226"/>
      <c r="EFP18" s="226"/>
      <c r="EFQ18" s="224"/>
      <c r="EFR18" s="225"/>
      <c r="EFS18" s="226"/>
      <c r="EFT18" s="227"/>
      <c r="EFU18" s="228"/>
      <c r="EFV18" s="228"/>
      <c r="EFW18" s="228"/>
      <c r="EFX18" s="228"/>
      <c r="EFY18" s="228"/>
      <c r="EFZ18" s="228"/>
      <c r="EGA18" s="226"/>
      <c r="EGB18" s="226"/>
      <c r="EGC18" s="224"/>
      <c r="EGD18" s="225"/>
      <c r="EGE18" s="226"/>
      <c r="EGF18" s="227"/>
      <c r="EGG18" s="228"/>
      <c r="EGH18" s="228"/>
      <c r="EGI18" s="228"/>
      <c r="EGJ18" s="228"/>
      <c r="EGK18" s="228"/>
      <c r="EGL18" s="228"/>
      <c r="EGM18" s="226"/>
      <c r="EGN18" s="226"/>
      <c r="EGO18" s="224"/>
      <c r="EGP18" s="225"/>
      <c r="EGQ18" s="226"/>
      <c r="EGR18" s="227"/>
      <c r="EGS18" s="228"/>
      <c r="EGT18" s="228"/>
      <c r="EGU18" s="228"/>
      <c r="EGV18" s="228"/>
      <c r="EGW18" s="228"/>
      <c r="EGX18" s="228"/>
      <c r="EGY18" s="226"/>
      <c r="EGZ18" s="226"/>
      <c r="EHA18" s="224"/>
      <c r="EHB18" s="225"/>
      <c r="EHC18" s="226"/>
      <c r="EHD18" s="227"/>
      <c r="EHE18" s="228"/>
      <c r="EHF18" s="228"/>
      <c r="EHG18" s="228"/>
      <c r="EHH18" s="228"/>
      <c r="EHI18" s="228"/>
      <c r="EHJ18" s="228"/>
      <c r="EHK18" s="226"/>
      <c r="EHL18" s="226"/>
      <c r="EHM18" s="224"/>
      <c r="EHN18" s="225"/>
      <c r="EHO18" s="226"/>
      <c r="EHP18" s="227"/>
      <c r="EHQ18" s="228"/>
      <c r="EHR18" s="228"/>
      <c r="EHS18" s="228"/>
      <c r="EHT18" s="228"/>
      <c r="EHU18" s="228"/>
      <c r="EHV18" s="228"/>
      <c r="EHW18" s="226"/>
      <c r="EHX18" s="226"/>
      <c r="EHY18" s="224"/>
      <c r="EHZ18" s="225"/>
      <c r="EIA18" s="226"/>
      <c r="EIB18" s="227"/>
      <c r="EIC18" s="228"/>
      <c r="EID18" s="228"/>
      <c r="EIE18" s="228"/>
      <c r="EIF18" s="228"/>
      <c r="EIG18" s="228"/>
      <c r="EIH18" s="228"/>
      <c r="EII18" s="226"/>
      <c r="EIJ18" s="226"/>
      <c r="EIK18" s="224"/>
      <c r="EIL18" s="225"/>
      <c r="EIM18" s="226"/>
      <c r="EIN18" s="227"/>
      <c r="EIO18" s="228"/>
      <c r="EIP18" s="228"/>
      <c r="EIQ18" s="228"/>
      <c r="EIR18" s="228"/>
      <c r="EIS18" s="228"/>
      <c r="EIT18" s="228"/>
      <c r="EIU18" s="226"/>
      <c r="EIV18" s="226"/>
      <c r="EIW18" s="224"/>
      <c r="EIX18" s="225"/>
      <c r="EIY18" s="226"/>
      <c r="EIZ18" s="227"/>
      <c r="EJA18" s="228"/>
      <c r="EJB18" s="228"/>
      <c r="EJC18" s="228"/>
      <c r="EJD18" s="228"/>
      <c r="EJE18" s="228"/>
      <c r="EJF18" s="228"/>
      <c r="EJG18" s="226"/>
      <c r="EJH18" s="226"/>
      <c r="EJI18" s="224"/>
      <c r="EJJ18" s="225"/>
      <c r="EJK18" s="226"/>
      <c r="EJL18" s="227"/>
      <c r="EJM18" s="228"/>
      <c r="EJN18" s="228"/>
      <c r="EJO18" s="228"/>
      <c r="EJP18" s="228"/>
      <c r="EJQ18" s="228"/>
      <c r="EJR18" s="228"/>
      <c r="EJS18" s="226"/>
      <c r="EJT18" s="226"/>
      <c r="EJU18" s="224"/>
      <c r="EJV18" s="225"/>
      <c r="EJW18" s="226"/>
      <c r="EJX18" s="227"/>
      <c r="EJY18" s="228"/>
      <c r="EJZ18" s="228"/>
      <c r="EKA18" s="228"/>
      <c r="EKB18" s="228"/>
      <c r="EKC18" s="228"/>
      <c r="EKD18" s="228"/>
      <c r="EKE18" s="226"/>
      <c r="EKF18" s="226"/>
      <c r="EKG18" s="224"/>
      <c r="EKH18" s="225"/>
      <c r="EKI18" s="226"/>
      <c r="EKJ18" s="227"/>
      <c r="EKK18" s="228"/>
      <c r="EKL18" s="228"/>
      <c r="EKM18" s="228"/>
      <c r="EKN18" s="228"/>
      <c r="EKO18" s="228"/>
      <c r="EKP18" s="228"/>
      <c r="EKQ18" s="226"/>
      <c r="EKR18" s="226"/>
      <c r="EKS18" s="224"/>
      <c r="EKT18" s="225"/>
      <c r="EKU18" s="226"/>
      <c r="EKV18" s="227"/>
      <c r="EKW18" s="228"/>
      <c r="EKX18" s="228"/>
      <c r="EKY18" s="228"/>
      <c r="EKZ18" s="228"/>
      <c r="ELA18" s="228"/>
      <c r="ELB18" s="228"/>
      <c r="ELC18" s="226"/>
      <c r="ELD18" s="226"/>
      <c r="ELE18" s="224"/>
      <c r="ELF18" s="225"/>
      <c r="ELG18" s="226"/>
      <c r="ELH18" s="227"/>
      <c r="ELI18" s="228"/>
      <c r="ELJ18" s="228"/>
      <c r="ELK18" s="228"/>
      <c r="ELL18" s="228"/>
      <c r="ELM18" s="228"/>
      <c r="ELN18" s="228"/>
      <c r="ELO18" s="226"/>
      <c r="ELP18" s="226"/>
      <c r="ELQ18" s="224"/>
      <c r="ELR18" s="225"/>
      <c r="ELS18" s="226"/>
      <c r="ELT18" s="227"/>
      <c r="ELU18" s="228"/>
      <c r="ELV18" s="228"/>
      <c r="ELW18" s="228"/>
      <c r="ELX18" s="228"/>
      <c r="ELY18" s="228"/>
      <c r="ELZ18" s="228"/>
      <c r="EMA18" s="226"/>
      <c r="EMB18" s="226"/>
      <c r="EMC18" s="224"/>
      <c r="EMD18" s="225"/>
      <c r="EME18" s="226"/>
      <c r="EMF18" s="227"/>
      <c r="EMG18" s="228"/>
      <c r="EMH18" s="228"/>
      <c r="EMI18" s="228"/>
      <c r="EMJ18" s="228"/>
      <c r="EMK18" s="228"/>
      <c r="EML18" s="228"/>
      <c r="EMM18" s="226"/>
      <c r="EMN18" s="226"/>
      <c r="EMO18" s="224"/>
      <c r="EMP18" s="225"/>
      <c r="EMQ18" s="226"/>
      <c r="EMR18" s="227"/>
      <c r="EMS18" s="228"/>
      <c r="EMT18" s="228"/>
      <c r="EMU18" s="228"/>
      <c r="EMV18" s="228"/>
      <c r="EMW18" s="228"/>
      <c r="EMX18" s="228"/>
      <c r="EMY18" s="226"/>
      <c r="EMZ18" s="226"/>
      <c r="ENA18" s="224"/>
      <c r="ENB18" s="225"/>
      <c r="ENC18" s="226"/>
      <c r="END18" s="227"/>
      <c r="ENE18" s="228"/>
      <c r="ENF18" s="228"/>
      <c r="ENG18" s="228"/>
      <c r="ENH18" s="228"/>
      <c r="ENI18" s="228"/>
      <c r="ENJ18" s="228"/>
      <c r="ENK18" s="226"/>
      <c r="ENL18" s="226"/>
      <c r="ENM18" s="224"/>
      <c r="ENN18" s="225"/>
      <c r="ENO18" s="226"/>
      <c r="ENP18" s="227"/>
      <c r="ENQ18" s="228"/>
      <c r="ENR18" s="228"/>
      <c r="ENS18" s="228"/>
      <c r="ENT18" s="228"/>
      <c r="ENU18" s="228"/>
      <c r="ENV18" s="228"/>
      <c r="ENW18" s="226"/>
      <c r="ENX18" s="226"/>
      <c r="ENY18" s="224"/>
      <c r="ENZ18" s="225"/>
      <c r="EOA18" s="226"/>
      <c r="EOB18" s="227"/>
      <c r="EOC18" s="228"/>
      <c r="EOD18" s="228"/>
      <c r="EOE18" s="228"/>
      <c r="EOF18" s="228"/>
      <c r="EOG18" s="228"/>
      <c r="EOH18" s="228"/>
      <c r="EOI18" s="226"/>
      <c r="EOJ18" s="226"/>
      <c r="EOK18" s="224"/>
      <c r="EOL18" s="225"/>
      <c r="EOM18" s="226"/>
      <c r="EON18" s="227"/>
      <c r="EOO18" s="228"/>
      <c r="EOP18" s="228"/>
      <c r="EOQ18" s="228"/>
      <c r="EOR18" s="228"/>
      <c r="EOS18" s="228"/>
      <c r="EOT18" s="228"/>
      <c r="EOU18" s="226"/>
      <c r="EOV18" s="226"/>
      <c r="EOW18" s="224"/>
      <c r="EOX18" s="225"/>
      <c r="EOY18" s="226"/>
      <c r="EOZ18" s="227"/>
      <c r="EPA18" s="228"/>
      <c r="EPB18" s="228"/>
      <c r="EPC18" s="228"/>
      <c r="EPD18" s="228"/>
      <c r="EPE18" s="228"/>
      <c r="EPF18" s="228"/>
      <c r="EPG18" s="226"/>
      <c r="EPH18" s="226"/>
      <c r="EPI18" s="224"/>
      <c r="EPJ18" s="225"/>
      <c r="EPK18" s="226"/>
      <c r="EPL18" s="227"/>
      <c r="EPM18" s="228"/>
      <c r="EPN18" s="228"/>
      <c r="EPO18" s="228"/>
      <c r="EPP18" s="228"/>
      <c r="EPQ18" s="228"/>
      <c r="EPR18" s="228"/>
      <c r="EPS18" s="226"/>
      <c r="EPT18" s="226"/>
      <c r="EPU18" s="224"/>
      <c r="EPV18" s="225"/>
      <c r="EPW18" s="226"/>
      <c r="EPX18" s="227"/>
      <c r="EPY18" s="228"/>
      <c r="EPZ18" s="228"/>
      <c r="EQA18" s="228"/>
      <c r="EQB18" s="228"/>
      <c r="EQC18" s="228"/>
      <c r="EQD18" s="228"/>
      <c r="EQE18" s="226"/>
      <c r="EQF18" s="226"/>
      <c r="EQG18" s="224"/>
      <c r="EQH18" s="225"/>
      <c r="EQI18" s="226"/>
      <c r="EQJ18" s="227"/>
      <c r="EQK18" s="228"/>
      <c r="EQL18" s="228"/>
      <c r="EQM18" s="228"/>
      <c r="EQN18" s="228"/>
      <c r="EQO18" s="228"/>
      <c r="EQP18" s="228"/>
      <c r="EQQ18" s="226"/>
      <c r="EQR18" s="226"/>
      <c r="EQS18" s="224"/>
      <c r="EQT18" s="225"/>
      <c r="EQU18" s="226"/>
      <c r="EQV18" s="227"/>
      <c r="EQW18" s="228"/>
      <c r="EQX18" s="228"/>
      <c r="EQY18" s="228"/>
      <c r="EQZ18" s="228"/>
      <c r="ERA18" s="228"/>
      <c r="ERB18" s="228"/>
      <c r="ERC18" s="226"/>
      <c r="ERD18" s="226"/>
      <c r="ERE18" s="224"/>
      <c r="ERF18" s="225"/>
      <c r="ERG18" s="226"/>
      <c r="ERH18" s="227"/>
      <c r="ERI18" s="228"/>
      <c r="ERJ18" s="228"/>
      <c r="ERK18" s="228"/>
      <c r="ERL18" s="228"/>
      <c r="ERM18" s="228"/>
      <c r="ERN18" s="228"/>
      <c r="ERO18" s="226"/>
      <c r="ERP18" s="226"/>
      <c r="ERQ18" s="224"/>
      <c r="ERR18" s="225"/>
      <c r="ERS18" s="226"/>
      <c r="ERT18" s="227"/>
      <c r="ERU18" s="228"/>
      <c r="ERV18" s="228"/>
      <c r="ERW18" s="228"/>
      <c r="ERX18" s="228"/>
      <c r="ERY18" s="228"/>
      <c r="ERZ18" s="228"/>
      <c r="ESA18" s="226"/>
      <c r="ESB18" s="226"/>
      <c r="ESC18" s="224"/>
      <c r="ESD18" s="225"/>
      <c r="ESE18" s="226"/>
      <c r="ESF18" s="227"/>
      <c r="ESG18" s="228"/>
      <c r="ESH18" s="228"/>
      <c r="ESI18" s="228"/>
      <c r="ESJ18" s="228"/>
      <c r="ESK18" s="228"/>
      <c r="ESL18" s="228"/>
      <c r="ESM18" s="226"/>
      <c r="ESN18" s="226"/>
      <c r="ESO18" s="224"/>
      <c r="ESP18" s="225"/>
      <c r="ESQ18" s="226"/>
      <c r="ESR18" s="227"/>
      <c r="ESS18" s="228"/>
      <c r="EST18" s="228"/>
      <c r="ESU18" s="228"/>
      <c r="ESV18" s="228"/>
      <c r="ESW18" s="228"/>
      <c r="ESX18" s="228"/>
      <c r="ESY18" s="226"/>
      <c r="ESZ18" s="226"/>
      <c r="ETA18" s="224"/>
      <c r="ETB18" s="225"/>
      <c r="ETC18" s="226"/>
      <c r="ETD18" s="227"/>
      <c r="ETE18" s="228"/>
      <c r="ETF18" s="228"/>
      <c r="ETG18" s="228"/>
      <c r="ETH18" s="228"/>
      <c r="ETI18" s="228"/>
      <c r="ETJ18" s="228"/>
      <c r="ETK18" s="226"/>
      <c r="ETL18" s="226"/>
      <c r="ETM18" s="224"/>
      <c r="ETN18" s="225"/>
      <c r="ETO18" s="226"/>
      <c r="ETP18" s="227"/>
      <c r="ETQ18" s="228"/>
      <c r="ETR18" s="228"/>
      <c r="ETS18" s="228"/>
      <c r="ETT18" s="228"/>
      <c r="ETU18" s="228"/>
      <c r="ETV18" s="228"/>
      <c r="ETW18" s="226"/>
      <c r="ETX18" s="226"/>
      <c r="ETY18" s="224"/>
      <c r="ETZ18" s="225"/>
      <c r="EUA18" s="226"/>
      <c r="EUB18" s="227"/>
      <c r="EUC18" s="228"/>
      <c r="EUD18" s="228"/>
      <c r="EUE18" s="228"/>
      <c r="EUF18" s="228"/>
      <c r="EUG18" s="228"/>
      <c r="EUH18" s="228"/>
      <c r="EUI18" s="226"/>
      <c r="EUJ18" s="226"/>
      <c r="EUK18" s="224"/>
      <c r="EUL18" s="225"/>
      <c r="EUM18" s="226"/>
      <c r="EUN18" s="227"/>
      <c r="EUO18" s="228"/>
      <c r="EUP18" s="228"/>
      <c r="EUQ18" s="228"/>
      <c r="EUR18" s="228"/>
      <c r="EUS18" s="228"/>
      <c r="EUT18" s="228"/>
      <c r="EUU18" s="226"/>
      <c r="EUV18" s="226"/>
      <c r="EUW18" s="224"/>
      <c r="EUX18" s="225"/>
      <c r="EUY18" s="226"/>
      <c r="EUZ18" s="227"/>
      <c r="EVA18" s="228"/>
      <c r="EVB18" s="228"/>
      <c r="EVC18" s="228"/>
      <c r="EVD18" s="228"/>
      <c r="EVE18" s="228"/>
      <c r="EVF18" s="228"/>
      <c r="EVG18" s="226"/>
      <c r="EVH18" s="226"/>
      <c r="EVI18" s="224"/>
      <c r="EVJ18" s="225"/>
      <c r="EVK18" s="226"/>
      <c r="EVL18" s="227"/>
      <c r="EVM18" s="228"/>
      <c r="EVN18" s="228"/>
      <c r="EVO18" s="228"/>
      <c r="EVP18" s="228"/>
      <c r="EVQ18" s="228"/>
      <c r="EVR18" s="228"/>
      <c r="EVS18" s="226"/>
      <c r="EVT18" s="226"/>
      <c r="EVU18" s="224"/>
      <c r="EVV18" s="225"/>
      <c r="EVW18" s="226"/>
      <c r="EVX18" s="227"/>
      <c r="EVY18" s="228"/>
      <c r="EVZ18" s="228"/>
      <c r="EWA18" s="228"/>
      <c r="EWB18" s="228"/>
      <c r="EWC18" s="228"/>
      <c r="EWD18" s="228"/>
      <c r="EWE18" s="226"/>
      <c r="EWF18" s="226"/>
      <c r="EWG18" s="224"/>
      <c r="EWH18" s="225"/>
      <c r="EWI18" s="226"/>
      <c r="EWJ18" s="227"/>
      <c r="EWK18" s="228"/>
      <c r="EWL18" s="228"/>
      <c r="EWM18" s="228"/>
      <c r="EWN18" s="228"/>
      <c r="EWO18" s="228"/>
      <c r="EWP18" s="228"/>
      <c r="EWQ18" s="226"/>
      <c r="EWR18" s="226"/>
      <c r="EWS18" s="224"/>
      <c r="EWT18" s="225"/>
      <c r="EWU18" s="226"/>
      <c r="EWV18" s="227"/>
      <c r="EWW18" s="228"/>
      <c r="EWX18" s="228"/>
      <c r="EWY18" s="228"/>
      <c r="EWZ18" s="228"/>
      <c r="EXA18" s="228"/>
      <c r="EXB18" s="228"/>
      <c r="EXC18" s="226"/>
      <c r="EXD18" s="226"/>
      <c r="EXE18" s="224"/>
      <c r="EXF18" s="225"/>
      <c r="EXG18" s="226"/>
      <c r="EXH18" s="227"/>
      <c r="EXI18" s="228"/>
      <c r="EXJ18" s="228"/>
      <c r="EXK18" s="228"/>
      <c r="EXL18" s="228"/>
      <c r="EXM18" s="228"/>
      <c r="EXN18" s="228"/>
      <c r="EXO18" s="226"/>
      <c r="EXP18" s="226"/>
      <c r="EXQ18" s="224"/>
      <c r="EXR18" s="225"/>
      <c r="EXS18" s="226"/>
      <c r="EXT18" s="227"/>
      <c r="EXU18" s="228"/>
      <c r="EXV18" s="228"/>
      <c r="EXW18" s="228"/>
      <c r="EXX18" s="228"/>
      <c r="EXY18" s="228"/>
      <c r="EXZ18" s="228"/>
      <c r="EYA18" s="226"/>
      <c r="EYB18" s="226"/>
      <c r="EYC18" s="224"/>
      <c r="EYD18" s="225"/>
      <c r="EYE18" s="226"/>
      <c r="EYF18" s="227"/>
      <c r="EYG18" s="228"/>
      <c r="EYH18" s="228"/>
      <c r="EYI18" s="228"/>
      <c r="EYJ18" s="228"/>
      <c r="EYK18" s="228"/>
      <c r="EYL18" s="228"/>
      <c r="EYM18" s="226"/>
      <c r="EYN18" s="226"/>
      <c r="EYO18" s="224"/>
      <c r="EYP18" s="225"/>
      <c r="EYQ18" s="226"/>
      <c r="EYR18" s="227"/>
      <c r="EYS18" s="228"/>
      <c r="EYT18" s="228"/>
      <c r="EYU18" s="228"/>
      <c r="EYV18" s="228"/>
      <c r="EYW18" s="228"/>
      <c r="EYX18" s="228"/>
      <c r="EYY18" s="226"/>
      <c r="EYZ18" s="226"/>
      <c r="EZA18" s="224"/>
      <c r="EZB18" s="225"/>
      <c r="EZC18" s="226"/>
      <c r="EZD18" s="227"/>
      <c r="EZE18" s="228"/>
      <c r="EZF18" s="228"/>
      <c r="EZG18" s="228"/>
      <c r="EZH18" s="228"/>
      <c r="EZI18" s="228"/>
      <c r="EZJ18" s="228"/>
      <c r="EZK18" s="226"/>
      <c r="EZL18" s="226"/>
      <c r="EZM18" s="224"/>
      <c r="EZN18" s="225"/>
      <c r="EZO18" s="226"/>
      <c r="EZP18" s="227"/>
      <c r="EZQ18" s="228"/>
      <c r="EZR18" s="228"/>
      <c r="EZS18" s="228"/>
      <c r="EZT18" s="228"/>
      <c r="EZU18" s="228"/>
      <c r="EZV18" s="228"/>
      <c r="EZW18" s="226"/>
      <c r="EZX18" s="226"/>
      <c r="EZY18" s="224"/>
      <c r="EZZ18" s="225"/>
      <c r="FAA18" s="226"/>
      <c r="FAB18" s="227"/>
      <c r="FAC18" s="228"/>
      <c r="FAD18" s="228"/>
      <c r="FAE18" s="228"/>
      <c r="FAF18" s="228"/>
      <c r="FAG18" s="228"/>
      <c r="FAH18" s="228"/>
      <c r="FAI18" s="226"/>
      <c r="FAJ18" s="226"/>
      <c r="FAK18" s="224"/>
      <c r="FAL18" s="225"/>
      <c r="FAM18" s="226"/>
      <c r="FAN18" s="227"/>
      <c r="FAO18" s="228"/>
      <c r="FAP18" s="228"/>
      <c r="FAQ18" s="228"/>
      <c r="FAR18" s="228"/>
      <c r="FAS18" s="228"/>
      <c r="FAT18" s="228"/>
      <c r="FAU18" s="226"/>
      <c r="FAV18" s="226"/>
      <c r="FAW18" s="224"/>
      <c r="FAX18" s="225"/>
      <c r="FAY18" s="226"/>
      <c r="FAZ18" s="227"/>
      <c r="FBA18" s="228"/>
      <c r="FBB18" s="228"/>
      <c r="FBC18" s="228"/>
      <c r="FBD18" s="228"/>
      <c r="FBE18" s="228"/>
      <c r="FBF18" s="228"/>
      <c r="FBG18" s="226"/>
      <c r="FBH18" s="226"/>
      <c r="FBI18" s="224"/>
      <c r="FBJ18" s="225"/>
      <c r="FBK18" s="226"/>
      <c r="FBL18" s="227"/>
      <c r="FBM18" s="228"/>
      <c r="FBN18" s="228"/>
      <c r="FBO18" s="228"/>
      <c r="FBP18" s="228"/>
      <c r="FBQ18" s="228"/>
      <c r="FBR18" s="228"/>
      <c r="FBS18" s="226"/>
      <c r="FBT18" s="226"/>
      <c r="FBU18" s="224"/>
      <c r="FBV18" s="225"/>
      <c r="FBW18" s="226"/>
      <c r="FBX18" s="227"/>
      <c r="FBY18" s="228"/>
      <c r="FBZ18" s="228"/>
      <c r="FCA18" s="228"/>
      <c r="FCB18" s="228"/>
      <c r="FCC18" s="228"/>
      <c r="FCD18" s="228"/>
      <c r="FCE18" s="226"/>
      <c r="FCF18" s="226"/>
      <c r="FCG18" s="224"/>
      <c r="FCH18" s="225"/>
      <c r="FCI18" s="226"/>
      <c r="FCJ18" s="227"/>
      <c r="FCK18" s="228"/>
      <c r="FCL18" s="228"/>
      <c r="FCM18" s="228"/>
      <c r="FCN18" s="228"/>
      <c r="FCO18" s="228"/>
      <c r="FCP18" s="228"/>
      <c r="FCQ18" s="226"/>
      <c r="FCR18" s="226"/>
      <c r="FCS18" s="224"/>
      <c r="FCT18" s="225"/>
      <c r="FCU18" s="226"/>
      <c r="FCV18" s="227"/>
      <c r="FCW18" s="228"/>
      <c r="FCX18" s="228"/>
      <c r="FCY18" s="228"/>
      <c r="FCZ18" s="228"/>
      <c r="FDA18" s="228"/>
      <c r="FDB18" s="228"/>
      <c r="FDC18" s="226"/>
      <c r="FDD18" s="226"/>
      <c r="FDE18" s="224"/>
      <c r="FDF18" s="225"/>
      <c r="FDG18" s="226"/>
      <c r="FDH18" s="227"/>
      <c r="FDI18" s="228"/>
      <c r="FDJ18" s="228"/>
      <c r="FDK18" s="228"/>
      <c r="FDL18" s="228"/>
      <c r="FDM18" s="228"/>
      <c r="FDN18" s="228"/>
      <c r="FDO18" s="226"/>
      <c r="FDP18" s="226"/>
      <c r="FDQ18" s="224"/>
      <c r="FDR18" s="225"/>
      <c r="FDS18" s="226"/>
      <c r="FDT18" s="227"/>
      <c r="FDU18" s="228"/>
      <c r="FDV18" s="228"/>
      <c r="FDW18" s="228"/>
      <c r="FDX18" s="228"/>
      <c r="FDY18" s="228"/>
      <c r="FDZ18" s="228"/>
      <c r="FEA18" s="226"/>
      <c r="FEB18" s="226"/>
      <c r="FEC18" s="224"/>
      <c r="FED18" s="225"/>
      <c r="FEE18" s="226"/>
      <c r="FEF18" s="227"/>
      <c r="FEG18" s="228"/>
      <c r="FEH18" s="228"/>
      <c r="FEI18" s="228"/>
      <c r="FEJ18" s="228"/>
      <c r="FEK18" s="228"/>
      <c r="FEL18" s="228"/>
      <c r="FEM18" s="226"/>
      <c r="FEN18" s="226"/>
      <c r="FEO18" s="224"/>
      <c r="FEP18" s="225"/>
      <c r="FEQ18" s="226"/>
      <c r="FER18" s="227"/>
      <c r="FES18" s="228"/>
      <c r="FET18" s="228"/>
      <c r="FEU18" s="228"/>
      <c r="FEV18" s="228"/>
      <c r="FEW18" s="228"/>
      <c r="FEX18" s="228"/>
      <c r="FEY18" s="226"/>
      <c r="FEZ18" s="226"/>
      <c r="FFA18" s="224"/>
      <c r="FFB18" s="225"/>
      <c r="FFC18" s="226"/>
      <c r="FFD18" s="227"/>
      <c r="FFE18" s="228"/>
      <c r="FFF18" s="228"/>
      <c r="FFG18" s="228"/>
      <c r="FFH18" s="228"/>
      <c r="FFI18" s="228"/>
      <c r="FFJ18" s="228"/>
      <c r="FFK18" s="226"/>
      <c r="FFL18" s="226"/>
      <c r="FFM18" s="224"/>
      <c r="FFN18" s="225"/>
      <c r="FFO18" s="226"/>
      <c r="FFP18" s="227"/>
      <c r="FFQ18" s="228"/>
      <c r="FFR18" s="228"/>
      <c r="FFS18" s="228"/>
      <c r="FFT18" s="228"/>
      <c r="FFU18" s="228"/>
      <c r="FFV18" s="228"/>
      <c r="FFW18" s="226"/>
      <c r="FFX18" s="226"/>
      <c r="FFY18" s="224"/>
      <c r="FFZ18" s="225"/>
      <c r="FGA18" s="226"/>
      <c r="FGB18" s="227"/>
      <c r="FGC18" s="228"/>
      <c r="FGD18" s="228"/>
      <c r="FGE18" s="228"/>
      <c r="FGF18" s="228"/>
      <c r="FGG18" s="228"/>
      <c r="FGH18" s="228"/>
      <c r="FGI18" s="226"/>
      <c r="FGJ18" s="226"/>
      <c r="FGK18" s="224"/>
      <c r="FGL18" s="225"/>
      <c r="FGM18" s="226"/>
      <c r="FGN18" s="227"/>
      <c r="FGO18" s="228"/>
      <c r="FGP18" s="228"/>
      <c r="FGQ18" s="228"/>
      <c r="FGR18" s="228"/>
      <c r="FGS18" s="228"/>
      <c r="FGT18" s="228"/>
      <c r="FGU18" s="226"/>
      <c r="FGV18" s="226"/>
      <c r="FGW18" s="224"/>
      <c r="FGX18" s="225"/>
      <c r="FGY18" s="226"/>
      <c r="FGZ18" s="227"/>
      <c r="FHA18" s="228"/>
      <c r="FHB18" s="228"/>
      <c r="FHC18" s="228"/>
      <c r="FHD18" s="228"/>
      <c r="FHE18" s="228"/>
      <c r="FHF18" s="228"/>
      <c r="FHG18" s="226"/>
      <c r="FHH18" s="226"/>
      <c r="FHI18" s="224"/>
      <c r="FHJ18" s="225"/>
      <c r="FHK18" s="226"/>
      <c r="FHL18" s="227"/>
      <c r="FHM18" s="228"/>
      <c r="FHN18" s="228"/>
      <c r="FHO18" s="228"/>
      <c r="FHP18" s="228"/>
      <c r="FHQ18" s="228"/>
      <c r="FHR18" s="228"/>
      <c r="FHS18" s="226"/>
      <c r="FHT18" s="226"/>
      <c r="FHU18" s="224"/>
      <c r="FHV18" s="225"/>
      <c r="FHW18" s="226"/>
      <c r="FHX18" s="227"/>
      <c r="FHY18" s="228"/>
      <c r="FHZ18" s="228"/>
      <c r="FIA18" s="228"/>
      <c r="FIB18" s="228"/>
      <c r="FIC18" s="228"/>
      <c r="FID18" s="228"/>
      <c r="FIE18" s="226"/>
      <c r="FIF18" s="226"/>
      <c r="FIG18" s="224"/>
      <c r="FIH18" s="225"/>
      <c r="FII18" s="226"/>
      <c r="FIJ18" s="227"/>
      <c r="FIK18" s="228"/>
      <c r="FIL18" s="228"/>
      <c r="FIM18" s="228"/>
      <c r="FIN18" s="228"/>
      <c r="FIO18" s="228"/>
      <c r="FIP18" s="228"/>
      <c r="FIQ18" s="226"/>
      <c r="FIR18" s="226"/>
      <c r="FIS18" s="224"/>
      <c r="FIT18" s="225"/>
      <c r="FIU18" s="226"/>
      <c r="FIV18" s="227"/>
      <c r="FIW18" s="228"/>
      <c r="FIX18" s="228"/>
      <c r="FIY18" s="228"/>
      <c r="FIZ18" s="228"/>
      <c r="FJA18" s="228"/>
      <c r="FJB18" s="228"/>
      <c r="FJC18" s="226"/>
      <c r="FJD18" s="226"/>
      <c r="FJE18" s="224"/>
      <c r="FJF18" s="225"/>
      <c r="FJG18" s="226"/>
      <c r="FJH18" s="227"/>
      <c r="FJI18" s="228"/>
      <c r="FJJ18" s="228"/>
      <c r="FJK18" s="228"/>
      <c r="FJL18" s="228"/>
      <c r="FJM18" s="228"/>
      <c r="FJN18" s="228"/>
      <c r="FJO18" s="226"/>
      <c r="FJP18" s="226"/>
      <c r="FJQ18" s="224"/>
      <c r="FJR18" s="225"/>
      <c r="FJS18" s="226"/>
      <c r="FJT18" s="227"/>
      <c r="FJU18" s="228"/>
      <c r="FJV18" s="228"/>
      <c r="FJW18" s="228"/>
      <c r="FJX18" s="228"/>
      <c r="FJY18" s="228"/>
      <c r="FJZ18" s="228"/>
      <c r="FKA18" s="226"/>
      <c r="FKB18" s="226"/>
      <c r="FKC18" s="224"/>
      <c r="FKD18" s="225"/>
      <c r="FKE18" s="226"/>
      <c r="FKF18" s="227"/>
      <c r="FKG18" s="228"/>
      <c r="FKH18" s="228"/>
      <c r="FKI18" s="228"/>
      <c r="FKJ18" s="228"/>
      <c r="FKK18" s="228"/>
      <c r="FKL18" s="228"/>
      <c r="FKM18" s="226"/>
      <c r="FKN18" s="226"/>
      <c r="FKO18" s="224"/>
      <c r="FKP18" s="225"/>
      <c r="FKQ18" s="226"/>
      <c r="FKR18" s="227"/>
      <c r="FKS18" s="228"/>
      <c r="FKT18" s="228"/>
      <c r="FKU18" s="228"/>
      <c r="FKV18" s="228"/>
      <c r="FKW18" s="228"/>
      <c r="FKX18" s="228"/>
      <c r="FKY18" s="226"/>
      <c r="FKZ18" s="226"/>
      <c r="FLA18" s="224"/>
      <c r="FLB18" s="225"/>
      <c r="FLC18" s="226"/>
      <c r="FLD18" s="227"/>
      <c r="FLE18" s="228"/>
      <c r="FLF18" s="228"/>
      <c r="FLG18" s="228"/>
      <c r="FLH18" s="228"/>
      <c r="FLI18" s="228"/>
      <c r="FLJ18" s="228"/>
      <c r="FLK18" s="226"/>
      <c r="FLL18" s="226"/>
      <c r="FLM18" s="224"/>
      <c r="FLN18" s="225"/>
      <c r="FLO18" s="226"/>
      <c r="FLP18" s="227"/>
      <c r="FLQ18" s="228"/>
      <c r="FLR18" s="228"/>
      <c r="FLS18" s="228"/>
      <c r="FLT18" s="228"/>
      <c r="FLU18" s="228"/>
      <c r="FLV18" s="228"/>
      <c r="FLW18" s="226"/>
      <c r="FLX18" s="226"/>
      <c r="FLY18" s="224"/>
      <c r="FLZ18" s="225"/>
      <c r="FMA18" s="226"/>
      <c r="FMB18" s="227"/>
      <c r="FMC18" s="228"/>
      <c r="FMD18" s="228"/>
      <c r="FME18" s="228"/>
      <c r="FMF18" s="228"/>
      <c r="FMG18" s="228"/>
      <c r="FMH18" s="228"/>
      <c r="FMI18" s="226"/>
      <c r="FMJ18" s="226"/>
      <c r="FMK18" s="224"/>
      <c r="FML18" s="225"/>
      <c r="FMM18" s="226"/>
      <c r="FMN18" s="227"/>
      <c r="FMO18" s="228"/>
      <c r="FMP18" s="228"/>
      <c r="FMQ18" s="228"/>
      <c r="FMR18" s="228"/>
      <c r="FMS18" s="228"/>
      <c r="FMT18" s="228"/>
      <c r="FMU18" s="226"/>
      <c r="FMV18" s="226"/>
      <c r="FMW18" s="224"/>
      <c r="FMX18" s="225"/>
      <c r="FMY18" s="226"/>
      <c r="FMZ18" s="227"/>
      <c r="FNA18" s="228"/>
      <c r="FNB18" s="228"/>
      <c r="FNC18" s="228"/>
      <c r="FND18" s="228"/>
      <c r="FNE18" s="228"/>
      <c r="FNF18" s="228"/>
      <c r="FNG18" s="226"/>
      <c r="FNH18" s="226"/>
      <c r="FNI18" s="224"/>
      <c r="FNJ18" s="225"/>
      <c r="FNK18" s="226"/>
      <c r="FNL18" s="227"/>
      <c r="FNM18" s="228"/>
      <c r="FNN18" s="228"/>
      <c r="FNO18" s="228"/>
      <c r="FNP18" s="228"/>
      <c r="FNQ18" s="228"/>
      <c r="FNR18" s="228"/>
      <c r="FNS18" s="226"/>
      <c r="FNT18" s="226"/>
      <c r="FNU18" s="224"/>
      <c r="FNV18" s="225"/>
      <c r="FNW18" s="226"/>
      <c r="FNX18" s="227"/>
      <c r="FNY18" s="228"/>
      <c r="FNZ18" s="228"/>
      <c r="FOA18" s="228"/>
      <c r="FOB18" s="228"/>
      <c r="FOC18" s="228"/>
      <c r="FOD18" s="228"/>
      <c r="FOE18" s="226"/>
      <c r="FOF18" s="226"/>
      <c r="FOG18" s="224"/>
      <c r="FOH18" s="225"/>
      <c r="FOI18" s="226"/>
      <c r="FOJ18" s="227"/>
      <c r="FOK18" s="228"/>
      <c r="FOL18" s="228"/>
      <c r="FOM18" s="228"/>
      <c r="FON18" s="228"/>
      <c r="FOO18" s="228"/>
      <c r="FOP18" s="228"/>
      <c r="FOQ18" s="226"/>
      <c r="FOR18" s="226"/>
      <c r="FOS18" s="224"/>
      <c r="FOT18" s="225"/>
      <c r="FOU18" s="226"/>
      <c r="FOV18" s="227"/>
      <c r="FOW18" s="228"/>
      <c r="FOX18" s="228"/>
      <c r="FOY18" s="228"/>
      <c r="FOZ18" s="228"/>
      <c r="FPA18" s="228"/>
      <c r="FPB18" s="228"/>
      <c r="FPC18" s="226"/>
      <c r="FPD18" s="226"/>
      <c r="FPE18" s="224"/>
      <c r="FPF18" s="225"/>
      <c r="FPG18" s="226"/>
      <c r="FPH18" s="227"/>
      <c r="FPI18" s="228"/>
      <c r="FPJ18" s="228"/>
      <c r="FPK18" s="228"/>
      <c r="FPL18" s="228"/>
      <c r="FPM18" s="228"/>
      <c r="FPN18" s="228"/>
      <c r="FPO18" s="226"/>
      <c r="FPP18" s="226"/>
      <c r="FPQ18" s="224"/>
      <c r="FPR18" s="225"/>
      <c r="FPS18" s="226"/>
      <c r="FPT18" s="227"/>
      <c r="FPU18" s="228"/>
      <c r="FPV18" s="228"/>
      <c r="FPW18" s="228"/>
      <c r="FPX18" s="228"/>
      <c r="FPY18" s="228"/>
      <c r="FPZ18" s="228"/>
      <c r="FQA18" s="226"/>
      <c r="FQB18" s="226"/>
      <c r="FQC18" s="224"/>
      <c r="FQD18" s="225"/>
      <c r="FQE18" s="226"/>
      <c r="FQF18" s="227"/>
      <c r="FQG18" s="228"/>
      <c r="FQH18" s="228"/>
      <c r="FQI18" s="228"/>
      <c r="FQJ18" s="228"/>
      <c r="FQK18" s="228"/>
      <c r="FQL18" s="228"/>
      <c r="FQM18" s="226"/>
      <c r="FQN18" s="226"/>
      <c r="FQO18" s="224"/>
      <c r="FQP18" s="225"/>
      <c r="FQQ18" s="226"/>
      <c r="FQR18" s="227"/>
      <c r="FQS18" s="228"/>
      <c r="FQT18" s="228"/>
      <c r="FQU18" s="228"/>
      <c r="FQV18" s="228"/>
      <c r="FQW18" s="228"/>
      <c r="FQX18" s="228"/>
      <c r="FQY18" s="226"/>
      <c r="FQZ18" s="226"/>
      <c r="FRA18" s="224"/>
      <c r="FRB18" s="225"/>
      <c r="FRC18" s="226"/>
      <c r="FRD18" s="227"/>
      <c r="FRE18" s="228"/>
      <c r="FRF18" s="228"/>
      <c r="FRG18" s="228"/>
      <c r="FRH18" s="228"/>
      <c r="FRI18" s="228"/>
      <c r="FRJ18" s="228"/>
      <c r="FRK18" s="226"/>
      <c r="FRL18" s="226"/>
      <c r="FRM18" s="224"/>
      <c r="FRN18" s="225"/>
      <c r="FRO18" s="226"/>
      <c r="FRP18" s="227"/>
      <c r="FRQ18" s="228"/>
      <c r="FRR18" s="228"/>
      <c r="FRS18" s="228"/>
      <c r="FRT18" s="228"/>
      <c r="FRU18" s="228"/>
      <c r="FRV18" s="228"/>
      <c r="FRW18" s="226"/>
      <c r="FRX18" s="226"/>
      <c r="FRY18" s="224"/>
      <c r="FRZ18" s="225"/>
      <c r="FSA18" s="226"/>
      <c r="FSB18" s="227"/>
      <c r="FSC18" s="228"/>
      <c r="FSD18" s="228"/>
      <c r="FSE18" s="228"/>
      <c r="FSF18" s="228"/>
      <c r="FSG18" s="228"/>
      <c r="FSH18" s="228"/>
      <c r="FSI18" s="226"/>
      <c r="FSJ18" s="226"/>
      <c r="FSK18" s="224"/>
      <c r="FSL18" s="225"/>
      <c r="FSM18" s="226"/>
      <c r="FSN18" s="227"/>
      <c r="FSO18" s="228"/>
      <c r="FSP18" s="228"/>
      <c r="FSQ18" s="228"/>
      <c r="FSR18" s="228"/>
      <c r="FSS18" s="228"/>
      <c r="FST18" s="228"/>
      <c r="FSU18" s="226"/>
      <c r="FSV18" s="226"/>
      <c r="FSW18" s="224"/>
      <c r="FSX18" s="225"/>
      <c r="FSY18" s="226"/>
      <c r="FSZ18" s="227"/>
      <c r="FTA18" s="228"/>
      <c r="FTB18" s="228"/>
      <c r="FTC18" s="228"/>
      <c r="FTD18" s="228"/>
      <c r="FTE18" s="228"/>
      <c r="FTF18" s="228"/>
      <c r="FTG18" s="226"/>
      <c r="FTH18" s="226"/>
      <c r="FTI18" s="224"/>
      <c r="FTJ18" s="225"/>
      <c r="FTK18" s="226"/>
      <c r="FTL18" s="227"/>
      <c r="FTM18" s="228"/>
      <c r="FTN18" s="228"/>
      <c r="FTO18" s="228"/>
      <c r="FTP18" s="228"/>
      <c r="FTQ18" s="228"/>
      <c r="FTR18" s="228"/>
      <c r="FTS18" s="226"/>
      <c r="FTT18" s="226"/>
      <c r="FTU18" s="224"/>
      <c r="FTV18" s="225"/>
      <c r="FTW18" s="226"/>
      <c r="FTX18" s="227"/>
      <c r="FTY18" s="228"/>
      <c r="FTZ18" s="228"/>
      <c r="FUA18" s="228"/>
      <c r="FUB18" s="228"/>
      <c r="FUC18" s="228"/>
      <c r="FUD18" s="228"/>
      <c r="FUE18" s="226"/>
      <c r="FUF18" s="226"/>
      <c r="FUG18" s="224"/>
      <c r="FUH18" s="225"/>
      <c r="FUI18" s="226"/>
      <c r="FUJ18" s="227"/>
      <c r="FUK18" s="228"/>
      <c r="FUL18" s="228"/>
      <c r="FUM18" s="228"/>
      <c r="FUN18" s="228"/>
      <c r="FUO18" s="228"/>
      <c r="FUP18" s="228"/>
      <c r="FUQ18" s="226"/>
      <c r="FUR18" s="226"/>
      <c r="FUS18" s="224"/>
      <c r="FUT18" s="225"/>
      <c r="FUU18" s="226"/>
      <c r="FUV18" s="227"/>
      <c r="FUW18" s="228"/>
      <c r="FUX18" s="228"/>
      <c r="FUY18" s="228"/>
      <c r="FUZ18" s="228"/>
      <c r="FVA18" s="228"/>
      <c r="FVB18" s="228"/>
      <c r="FVC18" s="226"/>
      <c r="FVD18" s="226"/>
      <c r="FVE18" s="224"/>
      <c r="FVF18" s="225"/>
      <c r="FVG18" s="226"/>
      <c r="FVH18" s="227"/>
      <c r="FVI18" s="228"/>
      <c r="FVJ18" s="228"/>
      <c r="FVK18" s="228"/>
      <c r="FVL18" s="228"/>
      <c r="FVM18" s="228"/>
      <c r="FVN18" s="228"/>
      <c r="FVO18" s="226"/>
      <c r="FVP18" s="226"/>
      <c r="FVQ18" s="224"/>
      <c r="FVR18" s="225"/>
      <c r="FVS18" s="226"/>
      <c r="FVT18" s="227"/>
      <c r="FVU18" s="228"/>
      <c r="FVV18" s="228"/>
      <c r="FVW18" s="228"/>
      <c r="FVX18" s="228"/>
      <c r="FVY18" s="228"/>
      <c r="FVZ18" s="228"/>
      <c r="FWA18" s="226"/>
      <c r="FWB18" s="226"/>
      <c r="FWC18" s="224"/>
      <c r="FWD18" s="225"/>
      <c r="FWE18" s="226"/>
      <c r="FWF18" s="227"/>
      <c r="FWG18" s="228"/>
      <c r="FWH18" s="228"/>
      <c r="FWI18" s="228"/>
      <c r="FWJ18" s="228"/>
      <c r="FWK18" s="228"/>
      <c r="FWL18" s="228"/>
      <c r="FWM18" s="226"/>
      <c r="FWN18" s="226"/>
      <c r="FWO18" s="224"/>
      <c r="FWP18" s="225"/>
      <c r="FWQ18" s="226"/>
      <c r="FWR18" s="227"/>
      <c r="FWS18" s="228"/>
      <c r="FWT18" s="228"/>
      <c r="FWU18" s="228"/>
      <c r="FWV18" s="228"/>
      <c r="FWW18" s="228"/>
      <c r="FWX18" s="228"/>
      <c r="FWY18" s="226"/>
      <c r="FWZ18" s="226"/>
      <c r="FXA18" s="224"/>
      <c r="FXB18" s="225"/>
      <c r="FXC18" s="226"/>
      <c r="FXD18" s="227"/>
      <c r="FXE18" s="228"/>
      <c r="FXF18" s="228"/>
      <c r="FXG18" s="228"/>
      <c r="FXH18" s="228"/>
      <c r="FXI18" s="228"/>
      <c r="FXJ18" s="228"/>
      <c r="FXK18" s="226"/>
      <c r="FXL18" s="226"/>
      <c r="FXM18" s="224"/>
      <c r="FXN18" s="225"/>
      <c r="FXO18" s="226"/>
      <c r="FXP18" s="227"/>
      <c r="FXQ18" s="228"/>
      <c r="FXR18" s="228"/>
      <c r="FXS18" s="228"/>
      <c r="FXT18" s="228"/>
      <c r="FXU18" s="228"/>
      <c r="FXV18" s="228"/>
      <c r="FXW18" s="226"/>
      <c r="FXX18" s="226"/>
      <c r="FXY18" s="224"/>
      <c r="FXZ18" s="225"/>
      <c r="FYA18" s="226"/>
      <c r="FYB18" s="227"/>
      <c r="FYC18" s="228"/>
      <c r="FYD18" s="228"/>
      <c r="FYE18" s="228"/>
      <c r="FYF18" s="228"/>
      <c r="FYG18" s="228"/>
      <c r="FYH18" s="228"/>
      <c r="FYI18" s="226"/>
      <c r="FYJ18" s="226"/>
      <c r="FYK18" s="224"/>
      <c r="FYL18" s="225"/>
      <c r="FYM18" s="226"/>
      <c r="FYN18" s="227"/>
      <c r="FYO18" s="228"/>
      <c r="FYP18" s="228"/>
      <c r="FYQ18" s="228"/>
      <c r="FYR18" s="228"/>
      <c r="FYS18" s="228"/>
      <c r="FYT18" s="228"/>
      <c r="FYU18" s="226"/>
      <c r="FYV18" s="226"/>
      <c r="FYW18" s="224"/>
      <c r="FYX18" s="225"/>
      <c r="FYY18" s="226"/>
      <c r="FYZ18" s="227"/>
      <c r="FZA18" s="228"/>
      <c r="FZB18" s="228"/>
      <c r="FZC18" s="228"/>
      <c r="FZD18" s="228"/>
      <c r="FZE18" s="228"/>
      <c r="FZF18" s="228"/>
      <c r="FZG18" s="226"/>
      <c r="FZH18" s="226"/>
      <c r="FZI18" s="224"/>
      <c r="FZJ18" s="225"/>
      <c r="FZK18" s="226"/>
      <c r="FZL18" s="227"/>
      <c r="FZM18" s="228"/>
      <c r="FZN18" s="228"/>
      <c r="FZO18" s="228"/>
      <c r="FZP18" s="228"/>
      <c r="FZQ18" s="228"/>
      <c r="FZR18" s="228"/>
      <c r="FZS18" s="226"/>
      <c r="FZT18" s="226"/>
      <c r="FZU18" s="224"/>
      <c r="FZV18" s="225"/>
      <c r="FZW18" s="226"/>
      <c r="FZX18" s="227"/>
      <c r="FZY18" s="228"/>
      <c r="FZZ18" s="228"/>
      <c r="GAA18" s="228"/>
      <c r="GAB18" s="228"/>
      <c r="GAC18" s="228"/>
      <c r="GAD18" s="228"/>
      <c r="GAE18" s="226"/>
      <c r="GAF18" s="226"/>
      <c r="GAG18" s="224"/>
      <c r="GAH18" s="225"/>
      <c r="GAI18" s="226"/>
      <c r="GAJ18" s="227"/>
      <c r="GAK18" s="228"/>
      <c r="GAL18" s="228"/>
      <c r="GAM18" s="228"/>
      <c r="GAN18" s="228"/>
      <c r="GAO18" s="228"/>
      <c r="GAP18" s="228"/>
      <c r="GAQ18" s="226"/>
      <c r="GAR18" s="226"/>
      <c r="GAS18" s="224"/>
      <c r="GAT18" s="225"/>
      <c r="GAU18" s="226"/>
      <c r="GAV18" s="227"/>
      <c r="GAW18" s="228"/>
      <c r="GAX18" s="228"/>
      <c r="GAY18" s="228"/>
      <c r="GAZ18" s="228"/>
      <c r="GBA18" s="228"/>
      <c r="GBB18" s="228"/>
      <c r="GBC18" s="226"/>
      <c r="GBD18" s="226"/>
      <c r="GBE18" s="224"/>
      <c r="GBF18" s="225"/>
      <c r="GBG18" s="226"/>
      <c r="GBH18" s="227"/>
      <c r="GBI18" s="228"/>
      <c r="GBJ18" s="228"/>
      <c r="GBK18" s="228"/>
      <c r="GBL18" s="228"/>
      <c r="GBM18" s="228"/>
      <c r="GBN18" s="228"/>
      <c r="GBO18" s="226"/>
      <c r="GBP18" s="226"/>
      <c r="GBQ18" s="224"/>
      <c r="GBR18" s="225"/>
      <c r="GBS18" s="226"/>
      <c r="GBT18" s="227"/>
      <c r="GBU18" s="228"/>
      <c r="GBV18" s="228"/>
      <c r="GBW18" s="228"/>
      <c r="GBX18" s="228"/>
      <c r="GBY18" s="228"/>
      <c r="GBZ18" s="228"/>
      <c r="GCA18" s="226"/>
      <c r="GCB18" s="226"/>
      <c r="GCC18" s="224"/>
      <c r="GCD18" s="225"/>
      <c r="GCE18" s="226"/>
      <c r="GCF18" s="227"/>
      <c r="GCG18" s="228"/>
      <c r="GCH18" s="228"/>
      <c r="GCI18" s="228"/>
      <c r="GCJ18" s="228"/>
      <c r="GCK18" s="228"/>
      <c r="GCL18" s="228"/>
      <c r="GCM18" s="226"/>
      <c r="GCN18" s="226"/>
      <c r="GCO18" s="224"/>
      <c r="GCP18" s="225"/>
      <c r="GCQ18" s="226"/>
      <c r="GCR18" s="227"/>
      <c r="GCS18" s="228"/>
      <c r="GCT18" s="228"/>
      <c r="GCU18" s="228"/>
      <c r="GCV18" s="228"/>
      <c r="GCW18" s="228"/>
      <c r="GCX18" s="228"/>
      <c r="GCY18" s="226"/>
      <c r="GCZ18" s="226"/>
      <c r="GDA18" s="224"/>
      <c r="GDB18" s="225"/>
      <c r="GDC18" s="226"/>
      <c r="GDD18" s="227"/>
      <c r="GDE18" s="228"/>
      <c r="GDF18" s="228"/>
      <c r="GDG18" s="228"/>
      <c r="GDH18" s="228"/>
      <c r="GDI18" s="228"/>
      <c r="GDJ18" s="228"/>
      <c r="GDK18" s="226"/>
      <c r="GDL18" s="226"/>
      <c r="GDM18" s="224"/>
      <c r="GDN18" s="225"/>
      <c r="GDO18" s="226"/>
      <c r="GDP18" s="227"/>
      <c r="GDQ18" s="228"/>
      <c r="GDR18" s="228"/>
      <c r="GDS18" s="228"/>
      <c r="GDT18" s="228"/>
      <c r="GDU18" s="228"/>
      <c r="GDV18" s="228"/>
      <c r="GDW18" s="226"/>
      <c r="GDX18" s="226"/>
      <c r="GDY18" s="224"/>
      <c r="GDZ18" s="225"/>
      <c r="GEA18" s="226"/>
      <c r="GEB18" s="227"/>
      <c r="GEC18" s="228"/>
      <c r="GED18" s="228"/>
      <c r="GEE18" s="228"/>
      <c r="GEF18" s="228"/>
      <c r="GEG18" s="228"/>
      <c r="GEH18" s="228"/>
      <c r="GEI18" s="226"/>
      <c r="GEJ18" s="226"/>
      <c r="GEK18" s="224"/>
      <c r="GEL18" s="225"/>
      <c r="GEM18" s="226"/>
      <c r="GEN18" s="227"/>
      <c r="GEO18" s="228"/>
      <c r="GEP18" s="228"/>
      <c r="GEQ18" s="228"/>
      <c r="GER18" s="228"/>
      <c r="GES18" s="228"/>
      <c r="GET18" s="228"/>
      <c r="GEU18" s="226"/>
      <c r="GEV18" s="226"/>
      <c r="GEW18" s="224"/>
      <c r="GEX18" s="225"/>
      <c r="GEY18" s="226"/>
      <c r="GEZ18" s="227"/>
      <c r="GFA18" s="228"/>
      <c r="GFB18" s="228"/>
      <c r="GFC18" s="228"/>
      <c r="GFD18" s="228"/>
      <c r="GFE18" s="228"/>
      <c r="GFF18" s="228"/>
      <c r="GFG18" s="226"/>
      <c r="GFH18" s="226"/>
      <c r="GFI18" s="224"/>
      <c r="GFJ18" s="225"/>
      <c r="GFK18" s="226"/>
      <c r="GFL18" s="227"/>
      <c r="GFM18" s="228"/>
      <c r="GFN18" s="228"/>
      <c r="GFO18" s="228"/>
      <c r="GFP18" s="228"/>
      <c r="GFQ18" s="228"/>
      <c r="GFR18" s="228"/>
      <c r="GFS18" s="226"/>
      <c r="GFT18" s="226"/>
      <c r="GFU18" s="224"/>
      <c r="GFV18" s="225"/>
      <c r="GFW18" s="226"/>
      <c r="GFX18" s="227"/>
      <c r="GFY18" s="228"/>
      <c r="GFZ18" s="228"/>
      <c r="GGA18" s="228"/>
      <c r="GGB18" s="228"/>
      <c r="GGC18" s="228"/>
      <c r="GGD18" s="228"/>
      <c r="GGE18" s="226"/>
      <c r="GGF18" s="226"/>
      <c r="GGG18" s="224"/>
      <c r="GGH18" s="225"/>
      <c r="GGI18" s="226"/>
      <c r="GGJ18" s="227"/>
      <c r="GGK18" s="228"/>
      <c r="GGL18" s="228"/>
      <c r="GGM18" s="228"/>
      <c r="GGN18" s="228"/>
      <c r="GGO18" s="228"/>
      <c r="GGP18" s="228"/>
      <c r="GGQ18" s="226"/>
      <c r="GGR18" s="226"/>
      <c r="GGS18" s="224"/>
      <c r="GGT18" s="225"/>
      <c r="GGU18" s="226"/>
      <c r="GGV18" s="227"/>
      <c r="GGW18" s="228"/>
      <c r="GGX18" s="228"/>
      <c r="GGY18" s="228"/>
      <c r="GGZ18" s="228"/>
      <c r="GHA18" s="228"/>
      <c r="GHB18" s="228"/>
      <c r="GHC18" s="226"/>
      <c r="GHD18" s="226"/>
      <c r="GHE18" s="224"/>
      <c r="GHF18" s="225"/>
      <c r="GHG18" s="226"/>
      <c r="GHH18" s="227"/>
      <c r="GHI18" s="228"/>
      <c r="GHJ18" s="228"/>
      <c r="GHK18" s="228"/>
      <c r="GHL18" s="228"/>
      <c r="GHM18" s="228"/>
      <c r="GHN18" s="228"/>
      <c r="GHO18" s="226"/>
      <c r="GHP18" s="226"/>
      <c r="GHQ18" s="224"/>
      <c r="GHR18" s="225"/>
      <c r="GHS18" s="226"/>
      <c r="GHT18" s="227"/>
      <c r="GHU18" s="228"/>
      <c r="GHV18" s="228"/>
      <c r="GHW18" s="228"/>
      <c r="GHX18" s="228"/>
      <c r="GHY18" s="228"/>
      <c r="GHZ18" s="228"/>
      <c r="GIA18" s="226"/>
      <c r="GIB18" s="226"/>
      <c r="GIC18" s="224"/>
      <c r="GID18" s="225"/>
      <c r="GIE18" s="226"/>
      <c r="GIF18" s="227"/>
      <c r="GIG18" s="228"/>
      <c r="GIH18" s="228"/>
      <c r="GII18" s="228"/>
      <c r="GIJ18" s="228"/>
      <c r="GIK18" s="228"/>
      <c r="GIL18" s="228"/>
      <c r="GIM18" s="226"/>
      <c r="GIN18" s="226"/>
      <c r="GIO18" s="224"/>
      <c r="GIP18" s="225"/>
      <c r="GIQ18" s="226"/>
      <c r="GIR18" s="227"/>
      <c r="GIS18" s="228"/>
      <c r="GIT18" s="228"/>
      <c r="GIU18" s="228"/>
      <c r="GIV18" s="228"/>
      <c r="GIW18" s="228"/>
      <c r="GIX18" s="228"/>
      <c r="GIY18" s="226"/>
      <c r="GIZ18" s="226"/>
      <c r="GJA18" s="224"/>
      <c r="GJB18" s="225"/>
      <c r="GJC18" s="226"/>
      <c r="GJD18" s="227"/>
      <c r="GJE18" s="228"/>
      <c r="GJF18" s="228"/>
      <c r="GJG18" s="228"/>
      <c r="GJH18" s="228"/>
      <c r="GJI18" s="228"/>
      <c r="GJJ18" s="228"/>
      <c r="GJK18" s="226"/>
      <c r="GJL18" s="226"/>
      <c r="GJM18" s="224"/>
      <c r="GJN18" s="225"/>
      <c r="GJO18" s="226"/>
      <c r="GJP18" s="227"/>
      <c r="GJQ18" s="228"/>
      <c r="GJR18" s="228"/>
      <c r="GJS18" s="228"/>
      <c r="GJT18" s="228"/>
      <c r="GJU18" s="228"/>
      <c r="GJV18" s="228"/>
      <c r="GJW18" s="226"/>
      <c r="GJX18" s="226"/>
      <c r="GJY18" s="224"/>
      <c r="GJZ18" s="225"/>
      <c r="GKA18" s="226"/>
      <c r="GKB18" s="227"/>
      <c r="GKC18" s="228"/>
      <c r="GKD18" s="228"/>
      <c r="GKE18" s="228"/>
      <c r="GKF18" s="228"/>
      <c r="GKG18" s="228"/>
      <c r="GKH18" s="228"/>
      <c r="GKI18" s="226"/>
      <c r="GKJ18" s="226"/>
      <c r="GKK18" s="224"/>
      <c r="GKL18" s="225"/>
      <c r="GKM18" s="226"/>
      <c r="GKN18" s="227"/>
      <c r="GKO18" s="228"/>
      <c r="GKP18" s="228"/>
      <c r="GKQ18" s="228"/>
      <c r="GKR18" s="228"/>
      <c r="GKS18" s="228"/>
      <c r="GKT18" s="228"/>
      <c r="GKU18" s="226"/>
      <c r="GKV18" s="226"/>
      <c r="GKW18" s="224"/>
      <c r="GKX18" s="225"/>
      <c r="GKY18" s="226"/>
      <c r="GKZ18" s="227"/>
      <c r="GLA18" s="228"/>
      <c r="GLB18" s="228"/>
      <c r="GLC18" s="228"/>
      <c r="GLD18" s="228"/>
      <c r="GLE18" s="228"/>
      <c r="GLF18" s="228"/>
      <c r="GLG18" s="226"/>
      <c r="GLH18" s="226"/>
      <c r="GLI18" s="224"/>
      <c r="GLJ18" s="225"/>
      <c r="GLK18" s="226"/>
      <c r="GLL18" s="227"/>
      <c r="GLM18" s="228"/>
      <c r="GLN18" s="228"/>
      <c r="GLO18" s="228"/>
      <c r="GLP18" s="228"/>
      <c r="GLQ18" s="228"/>
      <c r="GLR18" s="228"/>
      <c r="GLS18" s="226"/>
      <c r="GLT18" s="226"/>
      <c r="GLU18" s="224"/>
      <c r="GLV18" s="225"/>
      <c r="GLW18" s="226"/>
      <c r="GLX18" s="227"/>
      <c r="GLY18" s="228"/>
      <c r="GLZ18" s="228"/>
      <c r="GMA18" s="228"/>
      <c r="GMB18" s="228"/>
      <c r="GMC18" s="228"/>
      <c r="GMD18" s="228"/>
      <c r="GME18" s="226"/>
      <c r="GMF18" s="226"/>
      <c r="GMG18" s="224"/>
      <c r="GMH18" s="225"/>
      <c r="GMI18" s="226"/>
      <c r="GMJ18" s="227"/>
      <c r="GMK18" s="228"/>
      <c r="GML18" s="228"/>
      <c r="GMM18" s="228"/>
      <c r="GMN18" s="228"/>
      <c r="GMO18" s="228"/>
      <c r="GMP18" s="228"/>
      <c r="GMQ18" s="226"/>
      <c r="GMR18" s="226"/>
      <c r="GMS18" s="224"/>
      <c r="GMT18" s="225"/>
      <c r="GMU18" s="226"/>
      <c r="GMV18" s="227"/>
      <c r="GMW18" s="228"/>
      <c r="GMX18" s="228"/>
      <c r="GMY18" s="228"/>
      <c r="GMZ18" s="228"/>
      <c r="GNA18" s="228"/>
      <c r="GNB18" s="228"/>
      <c r="GNC18" s="226"/>
      <c r="GND18" s="226"/>
      <c r="GNE18" s="224"/>
      <c r="GNF18" s="225"/>
      <c r="GNG18" s="226"/>
      <c r="GNH18" s="227"/>
      <c r="GNI18" s="228"/>
      <c r="GNJ18" s="228"/>
      <c r="GNK18" s="228"/>
      <c r="GNL18" s="228"/>
      <c r="GNM18" s="228"/>
      <c r="GNN18" s="228"/>
      <c r="GNO18" s="226"/>
      <c r="GNP18" s="226"/>
      <c r="GNQ18" s="224"/>
      <c r="GNR18" s="225"/>
      <c r="GNS18" s="226"/>
      <c r="GNT18" s="227"/>
      <c r="GNU18" s="228"/>
      <c r="GNV18" s="228"/>
      <c r="GNW18" s="228"/>
      <c r="GNX18" s="228"/>
      <c r="GNY18" s="228"/>
      <c r="GNZ18" s="228"/>
      <c r="GOA18" s="226"/>
      <c r="GOB18" s="226"/>
      <c r="GOC18" s="224"/>
      <c r="GOD18" s="225"/>
      <c r="GOE18" s="226"/>
      <c r="GOF18" s="227"/>
      <c r="GOG18" s="228"/>
      <c r="GOH18" s="228"/>
      <c r="GOI18" s="228"/>
      <c r="GOJ18" s="228"/>
      <c r="GOK18" s="228"/>
      <c r="GOL18" s="228"/>
      <c r="GOM18" s="226"/>
      <c r="GON18" s="226"/>
      <c r="GOO18" s="224"/>
      <c r="GOP18" s="225"/>
      <c r="GOQ18" s="226"/>
      <c r="GOR18" s="227"/>
      <c r="GOS18" s="228"/>
      <c r="GOT18" s="228"/>
      <c r="GOU18" s="228"/>
      <c r="GOV18" s="228"/>
      <c r="GOW18" s="228"/>
      <c r="GOX18" s="228"/>
      <c r="GOY18" s="226"/>
      <c r="GOZ18" s="226"/>
      <c r="GPA18" s="224"/>
      <c r="GPB18" s="225"/>
      <c r="GPC18" s="226"/>
      <c r="GPD18" s="227"/>
      <c r="GPE18" s="228"/>
      <c r="GPF18" s="228"/>
      <c r="GPG18" s="228"/>
      <c r="GPH18" s="228"/>
      <c r="GPI18" s="228"/>
      <c r="GPJ18" s="228"/>
      <c r="GPK18" s="226"/>
      <c r="GPL18" s="226"/>
      <c r="GPM18" s="224"/>
      <c r="GPN18" s="225"/>
      <c r="GPO18" s="226"/>
      <c r="GPP18" s="227"/>
      <c r="GPQ18" s="228"/>
      <c r="GPR18" s="228"/>
      <c r="GPS18" s="228"/>
      <c r="GPT18" s="228"/>
      <c r="GPU18" s="228"/>
      <c r="GPV18" s="228"/>
      <c r="GPW18" s="226"/>
      <c r="GPX18" s="226"/>
      <c r="GPY18" s="224"/>
      <c r="GPZ18" s="225"/>
      <c r="GQA18" s="226"/>
      <c r="GQB18" s="227"/>
      <c r="GQC18" s="228"/>
      <c r="GQD18" s="228"/>
      <c r="GQE18" s="228"/>
      <c r="GQF18" s="228"/>
      <c r="GQG18" s="228"/>
      <c r="GQH18" s="228"/>
      <c r="GQI18" s="226"/>
      <c r="GQJ18" s="226"/>
      <c r="GQK18" s="224"/>
      <c r="GQL18" s="225"/>
      <c r="GQM18" s="226"/>
      <c r="GQN18" s="227"/>
      <c r="GQO18" s="228"/>
      <c r="GQP18" s="228"/>
      <c r="GQQ18" s="228"/>
      <c r="GQR18" s="228"/>
      <c r="GQS18" s="228"/>
      <c r="GQT18" s="228"/>
      <c r="GQU18" s="226"/>
      <c r="GQV18" s="226"/>
      <c r="GQW18" s="224"/>
      <c r="GQX18" s="225"/>
      <c r="GQY18" s="226"/>
      <c r="GQZ18" s="227"/>
      <c r="GRA18" s="228"/>
      <c r="GRB18" s="228"/>
      <c r="GRC18" s="228"/>
      <c r="GRD18" s="228"/>
      <c r="GRE18" s="228"/>
      <c r="GRF18" s="228"/>
      <c r="GRG18" s="226"/>
      <c r="GRH18" s="226"/>
      <c r="GRI18" s="224"/>
      <c r="GRJ18" s="225"/>
      <c r="GRK18" s="226"/>
      <c r="GRL18" s="227"/>
      <c r="GRM18" s="228"/>
      <c r="GRN18" s="228"/>
      <c r="GRO18" s="228"/>
      <c r="GRP18" s="228"/>
      <c r="GRQ18" s="228"/>
      <c r="GRR18" s="228"/>
      <c r="GRS18" s="226"/>
      <c r="GRT18" s="226"/>
      <c r="GRU18" s="224"/>
      <c r="GRV18" s="225"/>
      <c r="GRW18" s="226"/>
      <c r="GRX18" s="227"/>
      <c r="GRY18" s="228"/>
      <c r="GRZ18" s="228"/>
      <c r="GSA18" s="228"/>
      <c r="GSB18" s="228"/>
      <c r="GSC18" s="228"/>
      <c r="GSD18" s="228"/>
      <c r="GSE18" s="226"/>
      <c r="GSF18" s="226"/>
      <c r="GSG18" s="224"/>
      <c r="GSH18" s="225"/>
      <c r="GSI18" s="226"/>
      <c r="GSJ18" s="227"/>
      <c r="GSK18" s="228"/>
      <c r="GSL18" s="228"/>
      <c r="GSM18" s="228"/>
      <c r="GSN18" s="228"/>
      <c r="GSO18" s="228"/>
      <c r="GSP18" s="228"/>
      <c r="GSQ18" s="226"/>
      <c r="GSR18" s="226"/>
      <c r="GSS18" s="224"/>
      <c r="GST18" s="225"/>
      <c r="GSU18" s="226"/>
      <c r="GSV18" s="227"/>
      <c r="GSW18" s="228"/>
      <c r="GSX18" s="228"/>
      <c r="GSY18" s="228"/>
      <c r="GSZ18" s="228"/>
      <c r="GTA18" s="228"/>
      <c r="GTB18" s="228"/>
      <c r="GTC18" s="226"/>
      <c r="GTD18" s="226"/>
      <c r="GTE18" s="224"/>
      <c r="GTF18" s="225"/>
      <c r="GTG18" s="226"/>
      <c r="GTH18" s="227"/>
      <c r="GTI18" s="228"/>
      <c r="GTJ18" s="228"/>
      <c r="GTK18" s="228"/>
      <c r="GTL18" s="228"/>
      <c r="GTM18" s="228"/>
      <c r="GTN18" s="228"/>
      <c r="GTO18" s="226"/>
      <c r="GTP18" s="226"/>
      <c r="GTQ18" s="224"/>
      <c r="GTR18" s="225"/>
      <c r="GTS18" s="226"/>
      <c r="GTT18" s="227"/>
      <c r="GTU18" s="228"/>
      <c r="GTV18" s="228"/>
      <c r="GTW18" s="228"/>
      <c r="GTX18" s="228"/>
      <c r="GTY18" s="228"/>
      <c r="GTZ18" s="228"/>
      <c r="GUA18" s="226"/>
      <c r="GUB18" s="226"/>
      <c r="GUC18" s="224"/>
      <c r="GUD18" s="225"/>
      <c r="GUE18" s="226"/>
      <c r="GUF18" s="227"/>
      <c r="GUG18" s="228"/>
      <c r="GUH18" s="228"/>
      <c r="GUI18" s="228"/>
      <c r="GUJ18" s="228"/>
      <c r="GUK18" s="228"/>
      <c r="GUL18" s="228"/>
      <c r="GUM18" s="226"/>
      <c r="GUN18" s="226"/>
      <c r="GUO18" s="224"/>
      <c r="GUP18" s="225"/>
      <c r="GUQ18" s="226"/>
      <c r="GUR18" s="227"/>
      <c r="GUS18" s="228"/>
      <c r="GUT18" s="228"/>
      <c r="GUU18" s="228"/>
      <c r="GUV18" s="228"/>
      <c r="GUW18" s="228"/>
      <c r="GUX18" s="228"/>
      <c r="GUY18" s="226"/>
      <c r="GUZ18" s="226"/>
      <c r="GVA18" s="224"/>
      <c r="GVB18" s="225"/>
      <c r="GVC18" s="226"/>
      <c r="GVD18" s="227"/>
      <c r="GVE18" s="228"/>
      <c r="GVF18" s="228"/>
      <c r="GVG18" s="228"/>
      <c r="GVH18" s="228"/>
      <c r="GVI18" s="228"/>
      <c r="GVJ18" s="228"/>
      <c r="GVK18" s="226"/>
      <c r="GVL18" s="226"/>
      <c r="GVM18" s="224"/>
      <c r="GVN18" s="225"/>
      <c r="GVO18" s="226"/>
      <c r="GVP18" s="227"/>
      <c r="GVQ18" s="228"/>
      <c r="GVR18" s="228"/>
      <c r="GVS18" s="228"/>
      <c r="GVT18" s="228"/>
      <c r="GVU18" s="228"/>
      <c r="GVV18" s="228"/>
      <c r="GVW18" s="226"/>
      <c r="GVX18" s="226"/>
      <c r="GVY18" s="224"/>
      <c r="GVZ18" s="225"/>
      <c r="GWA18" s="226"/>
      <c r="GWB18" s="227"/>
      <c r="GWC18" s="228"/>
      <c r="GWD18" s="228"/>
      <c r="GWE18" s="228"/>
      <c r="GWF18" s="228"/>
      <c r="GWG18" s="228"/>
      <c r="GWH18" s="228"/>
      <c r="GWI18" s="226"/>
      <c r="GWJ18" s="226"/>
      <c r="GWK18" s="224"/>
      <c r="GWL18" s="225"/>
      <c r="GWM18" s="226"/>
      <c r="GWN18" s="227"/>
      <c r="GWO18" s="228"/>
      <c r="GWP18" s="228"/>
      <c r="GWQ18" s="228"/>
      <c r="GWR18" s="228"/>
      <c r="GWS18" s="228"/>
      <c r="GWT18" s="228"/>
      <c r="GWU18" s="226"/>
      <c r="GWV18" s="226"/>
      <c r="GWW18" s="224"/>
      <c r="GWX18" s="225"/>
      <c r="GWY18" s="226"/>
      <c r="GWZ18" s="227"/>
      <c r="GXA18" s="228"/>
      <c r="GXB18" s="228"/>
      <c r="GXC18" s="228"/>
      <c r="GXD18" s="228"/>
      <c r="GXE18" s="228"/>
      <c r="GXF18" s="228"/>
      <c r="GXG18" s="226"/>
      <c r="GXH18" s="226"/>
      <c r="GXI18" s="224"/>
      <c r="GXJ18" s="225"/>
      <c r="GXK18" s="226"/>
      <c r="GXL18" s="227"/>
      <c r="GXM18" s="228"/>
      <c r="GXN18" s="228"/>
      <c r="GXO18" s="228"/>
      <c r="GXP18" s="228"/>
      <c r="GXQ18" s="228"/>
      <c r="GXR18" s="228"/>
      <c r="GXS18" s="226"/>
      <c r="GXT18" s="226"/>
      <c r="GXU18" s="224"/>
      <c r="GXV18" s="225"/>
      <c r="GXW18" s="226"/>
      <c r="GXX18" s="227"/>
      <c r="GXY18" s="228"/>
      <c r="GXZ18" s="228"/>
      <c r="GYA18" s="228"/>
      <c r="GYB18" s="228"/>
      <c r="GYC18" s="228"/>
      <c r="GYD18" s="228"/>
      <c r="GYE18" s="226"/>
      <c r="GYF18" s="226"/>
      <c r="GYG18" s="224"/>
      <c r="GYH18" s="225"/>
      <c r="GYI18" s="226"/>
      <c r="GYJ18" s="227"/>
      <c r="GYK18" s="228"/>
      <c r="GYL18" s="228"/>
      <c r="GYM18" s="228"/>
      <c r="GYN18" s="228"/>
      <c r="GYO18" s="228"/>
      <c r="GYP18" s="228"/>
      <c r="GYQ18" s="226"/>
      <c r="GYR18" s="226"/>
      <c r="GYS18" s="224"/>
      <c r="GYT18" s="225"/>
      <c r="GYU18" s="226"/>
      <c r="GYV18" s="227"/>
      <c r="GYW18" s="228"/>
      <c r="GYX18" s="228"/>
      <c r="GYY18" s="228"/>
      <c r="GYZ18" s="228"/>
      <c r="GZA18" s="228"/>
      <c r="GZB18" s="228"/>
      <c r="GZC18" s="226"/>
      <c r="GZD18" s="226"/>
      <c r="GZE18" s="224"/>
      <c r="GZF18" s="225"/>
      <c r="GZG18" s="226"/>
      <c r="GZH18" s="227"/>
      <c r="GZI18" s="228"/>
      <c r="GZJ18" s="228"/>
      <c r="GZK18" s="228"/>
      <c r="GZL18" s="228"/>
      <c r="GZM18" s="228"/>
      <c r="GZN18" s="228"/>
      <c r="GZO18" s="226"/>
      <c r="GZP18" s="226"/>
      <c r="GZQ18" s="224"/>
      <c r="GZR18" s="225"/>
      <c r="GZS18" s="226"/>
      <c r="GZT18" s="227"/>
      <c r="GZU18" s="228"/>
      <c r="GZV18" s="228"/>
      <c r="GZW18" s="228"/>
      <c r="GZX18" s="228"/>
      <c r="GZY18" s="228"/>
      <c r="GZZ18" s="228"/>
      <c r="HAA18" s="226"/>
      <c r="HAB18" s="226"/>
      <c r="HAC18" s="224"/>
      <c r="HAD18" s="225"/>
      <c r="HAE18" s="226"/>
      <c r="HAF18" s="227"/>
      <c r="HAG18" s="228"/>
      <c r="HAH18" s="228"/>
      <c r="HAI18" s="228"/>
      <c r="HAJ18" s="228"/>
      <c r="HAK18" s="228"/>
      <c r="HAL18" s="228"/>
      <c r="HAM18" s="226"/>
      <c r="HAN18" s="226"/>
      <c r="HAO18" s="224"/>
      <c r="HAP18" s="225"/>
      <c r="HAQ18" s="226"/>
      <c r="HAR18" s="227"/>
      <c r="HAS18" s="228"/>
      <c r="HAT18" s="228"/>
      <c r="HAU18" s="228"/>
      <c r="HAV18" s="228"/>
      <c r="HAW18" s="228"/>
      <c r="HAX18" s="228"/>
      <c r="HAY18" s="226"/>
      <c r="HAZ18" s="226"/>
      <c r="HBA18" s="224"/>
      <c r="HBB18" s="225"/>
      <c r="HBC18" s="226"/>
      <c r="HBD18" s="227"/>
      <c r="HBE18" s="228"/>
      <c r="HBF18" s="228"/>
      <c r="HBG18" s="228"/>
      <c r="HBH18" s="228"/>
      <c r="HBI18" s="228"/>
      <c r="HBJ18" s="228"/>
      <c r="HBK18" s="226"/>
      <c r="HBL18" s="226"/>
      <c r="HBM18" s="224"/>
      <c r="HBN18" s="225"/>
      <c r="HBO18" s="226"/>
      <c r="HBP18" s="227"/>
      <c r="HBQ18" s="228"/>
      <c r="HBR18" s="228"/>
      <c r="HBS18" s="228"/>
      <c r="HBT18" s="228"/>
      <c r="HBU18" s="228"/>
      <c r="HBV18" s="228"/>
      <c r="HBW18" s="226"/>
      <c r="HBX18" s="226"/>
      <c r="HBY18" s="224"/>
      <c r="HBZ18" s="225"/>
      <c r="HCA18" s="226"/>
      <c r="HCB18" s="227"/>
      <c r="HCC18" s="228"/>
      <c r="HCD18" s="228"/>
      <c r="HCE18" s="228"/>
      <c r="HCF18" s="228"/>
      <c r="HCG18" s="228"/>
      <c r="HCH18" s="228"/>
      <c r="HCI18" s="226"/>
      <c r="HCJ18" s="226"/>
      <c r="HCK18" s="224"/>
      <c r="HCL18" s="225"/>
      <c r="HCM18" s="226"/>
      <c r="HCN18" s="227"/>
      <c r="HCO18" s="228"/>
      <c r="HCP18" s="228"/>
      <c r="HCQ18" s="228"/>
      <c r="HCR18" s="228"/>
      <c r="HCS18" s="228"/>
      <c r="HCT18" s="228"/>
      <c r="HCU18" s="226"/>
      <c r="HCV18" s="226"/>
      <c r="HCW18" s="224"/>
      <c r="HCX18" s="225"/>
      <c r="HCY18" s="226"/>
      <c r="HCZ18" s="227"/>
      <c r="HDA18" s="228"/>
      <c r="HDB18" s="228"/>
      <c r="HDC18" s="228"/>
      <c r="HDD18" s="228"/>
      <c r="HDE18" s="228"/>
      <c r="HDF18" s="228"/>
      <c r="HDG18" s="226"/>
      <c r="HDH18" s="226"/>
      <c r="HDI18" s="224"/>
      <c r="HDJ18" s="225"/>
      <c r="HDK18" s="226"/>
      <c r="HDL18" s="227"/>
      <c r="HDM18" s="228"/>
      <c r="HDN18" s="228"/>
      <c r="HDO18" s="228"/>
      <c r="HDP18" s="228"/>
      <c r="HDQ18" s="228"/>
      <c r="HDR18" s="228"/>
      <c r="HDS18" s="226"/>
      <c r="HDT18" s="226"/>
      <c r="HDU18" s="224"/>
      <c r="HDV18" s="225"/>
      <c r="HDW18" s="226"/>
      <c r="HDX18" s="227"/>
      <c r="HDY18" s="228"/>
      <c r="HDZ18" s="228"/>
      <c r="HEA18" s="228"/>
      <c r="HEB18" s="228"/>
      <c r="HEC18" s="228"/>
      <c r="HED18" s="228"/>
      <c r="HEE18" s="226"/>
      <c r="HEF18" s="226"/>
      <c r="HEG18" s="224"/>
      <c r="HEH18" s="225"/>
      <c r="HEI18" s="226"/>
      <c r="HEJ18" s="227"/>
      <c r="HEK18" s="228"/>
      <c r="HEL18" s="228"/>
      <c r="HEM18" s="228"/>
      <c r="HEN18" s="228"/>
      <c r="HEO18" s="228"/>
      <c r="HEP18" s="228"/>
      <c r="HEQ18" s="226"/>
      <c r="HER18" s="226"/>
      <c r="HES18" s="224"/>
      <c r="HET18" s="225"/>
      <c r="HEU18" s="226"/>
      <c r="HEV18" s="227"/>
      <c r="HEW18" s="228"/>
      <c r="HEX18" s="228"/>
      <c r="HEY18" s="228"/>
      <c r="HEZ18" s="228"/>
      <c r="HFA18" s="228"/>
      <c r="HFB18" s="228"/>
      <c r="HFC18" s="226"/>
      <c r="HFD18" s="226"/>
      <c r="HFE18" s="224"/>
      <c r="HFF18" s="225"/>
      <c r="HFG18" s="226"/>
      <c r="HFH18" s="227"/>
      <c r="HFI18" s="228"/>
      <c r="HFJ18" s="228"/>
      <c r="HFK18" s="228"/>
      <c r="HFL18" s="228"/>
      <c r="HFM18" s="228"/>
      <c r="HFN18" s="228"/>
      <c r="HFO18" s="226"/>
      <c r="HFP18" s="226"/>
      <c r="HFQ18" s="224"/>
      <c r="HFR18" s="225"/>
      <c r="HFS18" s="226"/>
      <c r="HFT18" s="227"/>
      <c r="HFU18" s="228"/>
      <c r="HFV18" s="228"/>
      <c r="HFW18" s="228"/>
      <c r="HFX18" s="228"/>
      <c r="HFY18" s="228"/>
      <c r="HFZ18" s="228"/>
      <c r="HGA18" s="226"/>
      <c r="HGB18" s="226"/>
      <c r="HGC18" s="224"/>
      <c r="HGD18" s="225"/>
      <c r="HGE18" s="226"/>
      <c r="HGF18" s="227"/>
      <c r="HGG18" s="228"/>
      <c r="HGH18" s="228"/>
      <c r="HGI18" s="228"/>
      <c r="HGJ18" s="228"/>
      <c r="HGK18" s="228"/>
      <c r="HGL18" s="228"/>
      <c r="HGM18" s="226"/>
      <c r="HGN18" s="226"/>
      <c r="HGO18" s="224"/>
      <c r="HGP18" s="225"/>
      <c r="HGQ18" s="226"/>
      <c r="HGR18" s="227"/>
      <c r="HGS18" s="228"/>
      <c r="HGT18" s="228"/>
      <c r="HGU18" s="228"/>
      <c r="HGV18" s="228"/>
      <c r="HGW18" s="228"/>
      <c r="HGX18" s="228"/>
      <c r="HGY18" s="226"/>
      <c r="HGZ18" s="226"/>
      <c r="HHA18" s="224"/>
      <c r="HHB18" s="225"/>
      <c r="HHC18" s="226"/>
      <c r="HHD18" s="227"/>
      <c r="HHE18" s="228"/>
      <c r="HHF18" s="228"/>
      <c r="HHG18" s="228"/>
      <c r="HHH18" s="228"/>
      <c r="HHI18" s="228"/>
      <c r="HHJ18" s="228"/>
      <c r="HHK18" s="226"/>
      <c r="HHL18" s="226"/>
      <c r="HHM18" s="224"/>
      <c r="HHN18" s="225"/>
      <c r="HHO18" s="226"/>
      <c r="HHP18" s="227"/>
      <c r="HHQ18" s="228"/>
      <c r="HHR18" s="228"/>
      <c r="HHS18" s="228"/>
      <c r="HHT18" s="228"/>
      <c r="HHU18" s="228"/>
      <c r="HHV18" s="228"/>
      <c r="HHW18" s="226"/>
      <c r="HHX18" s="226"/>
      <c r="HHY18" s="224"/>
      <c r="HHZ18" s="225"/>
      <c r="HIA18" s="226"/>
      <c r="HIB18" s="227"/>
      <c r="HIC18" s="228"/>
      <c r="HID18" s="228"/>
      <c r="HIE18" s="228"/>
      <c r="HIF18" s="228"/>
      <c r="HIG18" s="228"/>
      <c r="HIH18" s="228"/>
      <c r="HII18" s="226"/>
      <c r="HIJ18" s="226"/>
      <c r="HIK18" s="224"/>
      <c r="HIL18" s="225"/>
      <c r="HIM18" s="226"/>
      <c r="HIN18" s="227"/>
      <c r="HIO18" s="228"/>
      <c r="HIP18" s="228"/>
      <c r="HIQ18" s="228"/>
      <c r="HIR18" s="228"/>
      <c r="HIS18" s="228"/>
      <c r="HIT18" s="228"/>
      <c r="HIU18" s="226"/>
      <c r="HIV18" s="226"/>
      <c r="HIW18" s="224"/>
      <c r="HIX18" s="225"/>
      <c r="HIY18" s="226"/>
      <c r="HIZ18" s="227"/>
      <c r="HJA18" s="228"/>
      <c r="HJB18" s="228"/>
      <c r="HJC18" s="228"/>
      <c r="HJD18" s="228"/>
      <c r="HJE18" s="228"/>
      <c r="HJF18" s="228"/>
      <c r="HJG18" s="226"/>
      <c r="HJH18" s="226"/>
      <c r="HJI18" s="224"/>
      <c r="HJJ18" s="225"/>
      <c r="HJK18" s="226"/>
      <c r="HJL18" s="227"/>
      <c r="HJM18" s="228"/>
      <c r="HJN18" s="228"/>
      <c r="HJO18" s="228"/>
      <c r="HJP18" s="228"/>
      <c r="HJQ18" s="228"/>
      <c r="HJR18" s="228"/>
      <c r="HJS18" s="226"/>
      <c r="HJT18" s="226"/>
      <c r="HJU18" s="224"/>
      <c r="HJV18" s="225"/>
      <c r="HJW18" s="226"/>
      <c r="HJX18" s="227"/>
      <c r="HJY18" s="228"/>
      <c r="HJZ18" s="228"/>
      <c r="HKA18" s="228"/>
      <c r="HKB18" s="228"/>
      <c r="HKC18" s="228"/>
      <c r="HKD18" s="228"/>
      <c r="HKE18" s="226"/>
      <c r="HKF18" s="226"/>
      <c r="HKG18" s="224"/>
      <c r="HKH18" s="225"/>
      <c r="HKI18" s="226"/>
      <c r="HKJ18" s="227"/>
      <c r="HKK18" s="228"/>
      <c r="HKL18" s="228"/>
      <c r="HKM18" s="228"/>
      <c r="HKN18" s="228"/>
      <c r="HKO18" s="228"/>
      <c r="HKP18" s="228"/>
      <c r="HKQ18" s="226"/>
      <c r="HKR18" s="226"/>
      <c r="HKS18" s="224"/>
      <c r="HKT18" s="225"/>
      <c r="HKU18" s="226"/>
      <c r="HKV18" s="227"/>
      <c r="HKW18" s="228"/>
      <c r="HKX18" s="228"/>
      <c r="HKY18" s="228"/>
      <c r="HKZ18" s="228"/>
      <c r="HLA18" s="228"/>
      <c r="HLB18" s="228"/>
      <c r="HLC18" s="226"/>
      <c r="HLD18" s="226"/>
      <c r="HLE18" s="224"/>
      <c r="HLF18" s="225"/>
      <c r="HLG18" s="226"/>
      <c r="HLH18" s="227"/>
      <c r="HLI18" s="228"/>
      <c r="HLJ18" s="228"/>
      <c r="HLK18" s="228"/>
      <c r="HLL18" s="228"/>
      <c r="HLM18" s="228"/>
      <c r="HLN18" s="228"/>
      <c r="HLO18" s="226"/>
      <c r="HLP18" s="226"/>
      <c r="HLQ18" s="224"/>
      <c r="HLR18" s="225"/>
      <c r="HLS18" s="226"/>
      <c r="HLT18" s="227"/>
      <c r="HLU18" s="228"/>
      <c r="HLV18" s="228"/>
      <c r="HLW18" s="228"/>
      <c r="HLX18" s="228"/>
      <c r="HLY18" s="228"/>
      <c r="HLZ18" s="228"/>
      <c r="HMA18" s="226"/>
      <c r="HMB18" s="226"/>
      <c r="HMC18" s="224"/>
      <c r="HMD18" s="225"/>
      <c r="HME18" s="226"/>
      <c r="HMF18" s="227"/>
      <c r="HMG18" s="228"/>
      <c r="HMH18" s="228"/>
      <c r="HMI18" s="228"/>
      <c r="HMJ18" s="228"/>
      <c r="HMK18" s="228"/>
      <c r="HML18" s="228"/>
      <c r="HMM18" s="226"/>
      <c r="HMN18" s="226"/>
      <c r="HMO18" s="224"/>
      <c r="HMP18" s="225"/>
      <c r="HMQ18" s="226"/>
      <c r="HMR18" s="227"/>
      <c r="HMS18" s="228"/>
      <c r="HMT18" s="228"/>
      <c r="HMU18" s="228"/>
      <c r="HMV18" s="228"/>
      <c r="HMW18" s="228"/>
      <c r="HMX18" s="228"/>
      <c r="HMY18" s="226"/>
      <c r="HMZ18" s="226"/>
      <c r="HNA18" s="224"/>
      <c r="HNB18" s="225"/>
      <c r="HNC18" s="226"/>
      <c r="HND18" s="227"/>
      <c r="HNE18" s="228"/>
      <c r="HNF18" s="228"/>
      <c r="HNG18" s="228"/>
      <c r="HNH18" s="228"/>
      <c r="HNI18" s="228"/>
      <c r="HNJ18" s="228"/>
      <c r="HNK18" s="226"/>
      <c r="HNL18" s="226"/>
      <c r="HNM18" s="224"/>
      <c r="HNN18" s="225"/>
      <c r="HNO18" s="226"/>
      <c r="HNP18" s="227"/>
      <c r="HNQ18" s="228"/>
      <c r="HNR18" s="228"/>
      <c r="HNS18" s="228"/>
      <c r="HNT18" s="228"/>
      <c r="HNU18" s="228"/>
      <c r="HNV18" s="228"/>
      <c r="HNW18" s="226"/>
      <c r="HNX18" s="226"/>
      <c r="HNY18" s="224"/>
      <c r="HNZ18" s="225"/>
      <c r="HOA18" s="226"/>
      <c r="HOB18" s="227"/>
      <c r="HOC18" s="228"/>
      <c r="HOD18" s="228"/>
      <c r="HOE18" s="228"/>
      <c r="HOF18" s="228"/>
      <c r="HOG18" s="228"/>
      <c r="HOH18" s="228"/>
      <c r="HOI18" s="226"/>
      <c r="HOJ18" s="226"/>
      <c r="HOK18" s="224"/>
      <c r="HOL18" s="225"/>
      <c r="HOM18" s="226"/>
      <c r="HON18" s="227"/>
      <c r="HOO18" s="228"/>
      <c r="HOP18" s="228"/>
      <c r="HOQ18" s="228"/>
      <c r="HOR18" s="228"/>
      <c r="HOS18" s="228"/>
      <c r="HOT18" s="228"/>
      <c r="HOU18" s="226"/>
      <c r="HOV18" s="226"/>
      <c r="HOW18" s="224"/>
      <c r="HOX18" s="225"/>
      <c r="HOY18" s="226"/>
      <c r="HOZ18" s="227"/>
      <c r="HPA18" s="228"/>
      <c r="HPB18" s="228"/>
      <c r="HPC18" s="228"/>
      <c r="HPD18" s="228"/>
      <c r="HPE18" s="228"/>
      <c r="HPF18" s="228"/>
      <c r="HPG18" s="226"/>
      <c r="HPH18" s="226"/>
      <c r="HPI18" s="224"/>
      <c r="HPJ18" s="225"/>
      <c r="HPK18" s="226"/>
      <c r="HPL18" s="227"/>
      <c r="HPM18" s="228"/>
      <c r="HPN18" s="228"/>
      <c r="HPO18" s="228"/>
      <c r="HPP18" s="228"/>
      <c r="HPQ18" s="228"/>
      <c r="HPR18" s="228"/>
      <c r="HPS18" s="226"/>
      <c r="HPT18" s="226"/>
      <c r="HPU18" s="224"/>
      <c r="HPV18" s="225"/>
      <c r="HPW18" s="226"/>
      <c r="HPX18" s="227"/>
      <c r="HPY18" s="228"/>
      <c r="HPZ18" s="228"/>
      <c r="HQA18" s="228"/>
      <c r="HQB18" s="228"/>
      <c r="HQC18" s="228"/>
      <c r="HQD18" s="228"/>
      <c r="HQE18" s="226"/>
      <c r="HQF18" s="226"/>
      <c r="HQG18" s="224"/>
      <c r="HQH18" s="225"/>
      <c r="HQI18" s="226"/>
      <c r="HQJ18" s="227"/>
      <c r="HQK18" s="228"/>
      <c r="HQL18" s="228"/>
      <c r="HQM18" s="228"/>
      <c r="HQN18" s="228"/>
      <c r="HQO18" s="228"/>
      <c r="HQP18" s="228"/>
      <c r="HQQ18" s="226"/>
      <c r="HQR18" s="226"/>
      <c r="HQS18" s="224"/>
      <c r="HQT18" s="225"/>
      <c r="HQU18" s="226"/>
      <c r="HQV18" s="227"/>
      <c r="HQW18" s="228"/>
      <c r="HQX18" s="228"/>
      <c r="HQY18" s="228"/>
      <c r="HQZ18" s="228"/>
      <c r="HRA18" s="228"/>
      <c r="HRB18" s="228"/>
      <c r="HRC18" s="226"/>
      <c r="HRD18" s="226"/>
      <c r="HRE18" s="224"/>
      <c r="HRF18" s="225"/>
      <c r="HRG18" s="226"/>
      <c r="HRH18" s="227"/>
      <c r="HRI18" s="228"/>
      <c r="HRJ18" s="228"/>
      <c r="HRK18" s="228"/>
      <c r="HRL18" s="228"/>
      <c r="HRM18" s="228"/>
      <c r="HRN18" s="228"/>
      <c r="HRO18" s="226"/>
      <c r="HRP18" s="226"/>
      <c r="HRQ18" s="224"/>
      <c r="HRR18" s="225"/>
      <c r="HRS18" s="226"/>
      <c r="HRT18" s="227"/>
      <c r="HRU18" s="228"/>
      <c r="HRV18" s="228"/>
      <c r="HRW18" s="228"/>
      <c r="HRX18" s="228"/>
      <c r="HRY18" s="228"/>
      <c r="HRZ18" s="228"/>
      <c r="HSA18" s="226"/>
      <c r="HSB18" s="226"/>
      <c r="HSC18" s="224"/>
      <c r="HSD18" s="225"/>
      <c r="HSE18" s="226"/>
      <c r="HSF18" s="227"/>
      <c r="HSG18" s="228"/>
      <c r="HSH18" s="228"/>
      <c r="HSI18" s="228"/>
      <c r="HSJ18" s="228"/>
      <c r="HSK18" s="228"/>
      <c r="HSL18" s="228"/>
      <c r="HSM18" s="226"/>
      <c r="HSN18" s="226"/>
      <c r="HSO18" s="224"/>
      <c r="HSP18" s="225"/>
      <c r="HSQ18" s="226"/>
      <c r="HSR18" s="227"/>
      <c r="HSS18" s="228"/>
      <c r="HST18" s="228"/>
      <c r="HSU18" s="228"/>
      <c r="HSV18" s="228"/>
      <c r="HSW18" s="228"/>
      <c r="HSX18" s="228"/>
      <c r="HSY18" s="226"/>
      <c r="HSZ18" s="226"/>
      <c r="HTA18" s="224"/>
      <c r="HTB18" s="225"/>
      <c r="HTC18" s="226"/>
      <c r="HTD18" s="227"/>
      <c r="HTE18" s="228"/>
      <c r="HTF18" s="228"/>
      <c r="HTG18" s="228"/>
      <c r="HTH18" s="228"/>
      <c r="HTI18" s="228"/>
      <c r="HTJ18" s="228"/>
      <c r="HTK18" s="226"/>
      <c r="HTL18" s="226"/>
      <c r="HTM18" s="224"/>
      <c r="HTN18" s="225"/>
      <c r="HTO18" s="226"/>
      <c r="HTP18" s="227"/>
      <c r="HTQ18" s="228"/>
      <c r="HTR18" s="228"/>
      <c r="HTS18" s="228"/>
      <c r="HTT18" s="228"/>
      <c r="HTU18" s="228"/>
      <c r="HTV18" s="228"/>
      <c r="HTW18" s="226"/>
      <c r="HTX18" s="226"/>
      <c r="HTY18" s="224"/>
      <c r="HTZ18" s="225"/>
      <c r="HUA18" s="226"/>
      <c r="HUB18" s="227"/>
      <c r="HUC18" s="228"/>
      <c r="HUD18" s="228"/>
      <c r="HUE18" s="228"/>
      <c r="HUF18" s="228"/>
      <c r="HUG18" s="228"/>
      <c r="HUH18" s="228"/>
      <c r="HUI18" s="226"/>
      <c r="HUJ18" s="226"/>
      <c r="HUK18" s="224"/>
      <c r="HUL18" s="225"/>
      <c r="HUM18" s="226"/>
      <c r="HUN18" s="227"/>
      <c r="HUO18" s="228"/>
      <c r="HUP18" s="228"/>
      <c r="HUQ18" s="228"/>
      <c r="HUR18" s="228"/>
      <c r="HUS18" s="228"/>
      <c r="HUT18" s="228"/>
      <c r="HUU18" s="226"/>
      <c r="HUV18" s="226"/>
      <c r="HUW18" s="224"/>
      <c r="HUX18" s="225"/>
      <c r="HUY18" s="226"/>
      <c r="HUZ18" s="227"/>
      <c r="HVA18" s="228"/>
      <c r="HVB18" s="228"/>
      <c r="HVC18" s="228"/>
      <c r="HVD18" s="228"/>
      <c r="HVE18" s="228"/>
      <c r="HVF18" s="228"/>
      <c r="HVG18" s="226"/>
      <c r="HVH18" s="226"/>
      <c r="HVI18" s="224"/>
      <c r="HVJ18" s="225"/>
      <c r="HVK18" s="226"/>
      <c r="HVL18" s="227"/>
      <c r="HVM18" s="228"/>
      <c r="HVN18" s="228"/>
      <c r="HVO18" s="228"/>
      <c r="HVP18" s="228"/>
      <c r="HVQ18" s="228"/>
      <c r="HVR18" s="228"/>
      <c r="HVS18" s="226"/>
      <c r="HVT18" s="226"/>
      <c r="HVU18" s="224"/>
      <c r="HVV18" s="225"/>
      <c r="HVW18" s="226"/>
      <c r="HVX18" s="227"/>
      <c r="HVY18" s="228"/>
      <c r="HVZ18" s="228"/>
      <c r="HWA18" s="228"/>
      <c r="HWB18" s="228"/>
      <c r="HWC18" s="228"/>
      <c r="HWD18" s="228"/>
      <c r="HWE18" s="226"/>
      <c r="HWF18" s="226"/>
      <c r="HWG18" s="224"/>
      <c r="HWH18" s="225"/>
      <c r="HWI18" s="226"/>
      <c r="HWJ18" s="227"/>
      <c r="HWK18" s="228"/>
      <c r="HWL18" s="228"/>
      <c r="HWM18" s="228"/>
      <c r="HWN18" s="228"/>
      <c r="HWO18" s="228"/>
      <c r="HWP18" s="228"/>
      <c r="HWQ18" s="226"/>
      <c r="HWR18" s="226"/>
      <c r="HWS18" s="224"/>
      <c r="HWT18" s="225"/>
      <c r="HWU18" s="226"/>
      <c r="HWV18" s="227"/>
      <c r="HWW18" s="228"/>
      <c r="HWX18" s="228"/>
      <c r="HWY18" s="228"/>
      <c r="HWZ18" s="228"/>
      <c r="HXA18" s="228"/>
      <c r="HXB18" s="228"/>
      <c r="HXC18" s="226"/>
      <c r="HXD18" s="226"/>
      <c r="HXE18" s="224"/>
      <c r="HXF18" s="225"/>
      <c r="HXG18" s="226"/>
      <c r="HXH18" s="227"/>
      <c r="HXI18" s="228"/>
      <c r="HXJ18" s="228"/>
      <c r="HXK18" s="228"/>
      <c r="HXL18" s="228"/>
      <c r="HXM18" s="228"/>
      <c r="HXN18" s="228"/>
      <c r="HXO18" s="226"/>
      <c r="HXP18" s="226"/>
      <c r="HXQ18" s="224"/>
      <c r="HXR18" s="225"/>
      <c r="HXS18" s="226"/>
      <c r="HXT18" s="227"/>
      <c r="HXU18" s="228"/>
      <c r="HXV18" s="228"/>
      <c r="HXW18" s="228"/>
      <c r="HXX18" s="228"/>
      <c r="HXY18" s="228"/>
      <c r="HXZ18" s="228"/>
      <c r="HYA18" s="226"/>
      <c r="HYB18" s="226"/>
      <c r="HYC18" s="224"/>
      <c r="HYD18" s="225"/>
      <c r="HYE18" s="226"/>
      <c r="HYF18" s="227"/>
      <c r="HYG18" s="228"/>
      <c r="HYH18" s="228"/>
      <c r="HYI18" s="228"/>
      <c r="HYJ18" s="228"/>
      <c r="HYK18" s="228"/>
      <c r="HYL18" s="228"/>
      <c r="HYM18" s="226"/>
      <c r="HYN18" s="226"/>
      <c r="HYO18" s="224"/>
      <c r="HYP18" s="225"/>
      <c r="HYQ18" s="226"/>
      <c r="HYR18" s="227"/>
      <c r="HYS18" s="228"/>
      <c r="HYT18" s="228"/>
      <c r="HYU18" s="228"/>
      <c r="HYV18" s="228"/>
      <c r="HYW18" s="228"/>
      <c r="HYX18" s="228"/>
      <c r="HYY18" s="226"/>
      <c r="HYZ18" s="226"/>
      <c r="HZA18" s="224"/>
      <c r="HZB18" s="225"/>
      <c r="HZC18" s="226"/>
      <c r="HZD18" s="227"/>
      <c r="HZE18" s="228"/>
      <c r="HZF18" s="228"/>
      <c r="HZG18" s="228"/>
      <c r="HZH18" s="228"/>
      <c r="HZI18" s="228"/>
      <c r="HZJ18" s="228"/>
      <c r="HZK18" s="226"/>
      <c r="HZL18" s="226"/>
      <c r="HZM18" s="224"/>
      <c r="HZN18" s="225"/>
      <c r="HZO18" s="226"/>
      <c r="HZP18" s="227"/>
      <c r="HZQ18" s="228"/>
      <c r="HZR18" s="228"/>
      <c r="HZS18" s="228"/>
      <c r="HZT18" s="228"/>
      <c r="HZU18" s="228"/>
      <c r="HZV18" s="228"/>
      <c r="HZW18" s="226"/>
      <c r="HZX18" s="226"/>
      <c r="HZY18" s="224"/>
      <c r="HZZ18" s="225"/>
      <c r="IAA18" s="226"/>
      <c r="IAB18" s="227"/>
      <c r="IAC18" s="228"/>
      <c r="IAD18" s="228"/>
      <c r="IAE18" s="228"/>
      <c r="IAF18" s="228"/>
      <c r="IAG18" s="228"/>
      <c r="IAH18" s="228"/>
      <c r="IAI18" s="226"/>
      <c r="IAJ18" s="226"/>
      <c r="IAK18" s="224"/>
      <c r="IAL18" s="225"/>
      <c r="IAM18" s="226"/>
      <c r="IAN18" s="227"/>
      <c r="IAO18" s="228"/>
      <c r="IAP18" s="228"/>
      <c r="IAQ18" s="228"/>
      <c r="IAR18" s="228"/>
      <c r="IAS18" s="228"/>
      <c r="IAT18" s="228"/>
      <c r="IAU18" s="226"/>
      <c r="IAV18" s="226"/>
      <c r="IAW18" s="224"/>
      <c r="IAX18" s="225"/>
      <c r="IAY18" s="226"/>
      <c r="IAZ18" s="227"/>
      <c r="IBA18" s="228"/>
      <c r="IBB18" s="228"/>
      <c r="IBC18" s="228"/>
      <c r="IBD18" s="228"/>
      <c r="IBE18" s="228"/>
      <c r="IBF18" s="228"/>
      <c r="IBG18" s="226"/>
      <c r="IBH18" s="226"/>
      <c r="IBI18" s="224"/>
      <c r="IBJ18" s="225"/>
      <c r="IBK18" s="226"/>
      <c r="IBL18" s="227"/>
      <c r="IBM18" s="228"/>
      <c r="IBN18" s="228"/>
      <c r="IBO18" s="228"/>
      <c r="IBP18" s="228"/>
      <c r="IBQ18" s="228"/>
      <c r="IBR18" s="228"/>
      <c r="IBS18" s="226"/>
      <c r="IBT18" s="226"/>
      <c r="IBU18" s="224"/>
      <c r="IBV18" s="225"/>
      <c r="IBW18" s="226"/>
      <c r="IBX18" s="227"/>
      <c r="IBY18" s="228"/>
      <c r="IBZ18" s="228"/>
      <c r="ICA18" s="228"/>
      <c r="ICB18" s="228"/>
      <c r="ICC18" s="228"/>
      <c r="ICD18" s="228"/>
      <c r="ICE18" s="226"/>
      <c r="ICF18" s="226"/>
      <c r="ICG18" s="224"/>
      <c r="ICH18" s="225"/>
      <c r="ICI18" s="226"/>
      <c r="ICJ18" s="227"/>
      <c r="ICK18" s="228"/>
      <c r="ICL18" s="228"/>
      <c r="ICM18" s="228"/>
      <c r="ICN18" s="228"/>
      <c r="ICO18" s="228"/>
      <c r="ICP18" s="228"/>
      <c r="ICQ18" s="226"/>
      <c r="ICR18" s="226"/>
      <c r="ICS18" s="224"/>
      <c r="ICT18" s="225"/>
      <c r="ICU18" s="226"/>
      <c r="ICV18" s="227"/>
      <c r="ICW18" s="228"/>
      <c r="ICX18" s="228"/>
      <c r="ICY18" s="228"/>
      <c r="ICZ18" s="228"/>
      <c r="IDA18" s="228"/>
      <c r="IDB18" s="228"/>
      <c r="IDC18" s="226"/>
      <c r="IDD18" s="226"/>
      <c r="IDE18" s="224"/>
      <c r="IDF18" s="225"/>
      <c r="IDG18" s="226"/>
      <c r="IDH18" s="227"/>
      <c r="IDI18" s="228"/>
      <c r="IDJ18" s="228"/>
      <c r="IDK18" s="228"/>
      <c r="IDL18" s="228"/>
      <c r="IDM18" s="228"/>
      <c r="IDN18" s="228"/>
      <c r="IDO18" s="226"/>
      <c r="IDP18" s="226"/>
      <c r="IDQ18" s="224"/>
      <c r="IDR18" s="225"/>
      <c r="IDS18" s="226"/>
      <c r="IDT18" s="227"/>
      <c r="IDU18" s="228"/>
      <c r="IDV18" s="228"/>
      <c r="IDW18" s="228"/>
      <c r="IDX18" s="228"/>
      <c r="IDY18" s="228"/>
      <c r="IDZ18" s="228"/>
      <c r="IEA18" s="226"/>
      <c r="IEB18" s="226"/>
      <c r="IEC18" s="224"/>
      <c r="IED18" s="225"/>
      <c r="IEE18" s="226"/>
      <c r="IEF18" s="227"/>
      <c r="IEG18" s="228"/>
      <c r="IEH18" s="228"/>
      <c r="IEI18" s="228"/>
      <c r="IEJ18" s="228"/>
      <c r="IEK18" s="228"/>
      <c r="IEL18" s="228"/>
      <c r="IEM18" s="226"/>
      <c r="IEN18" s="226"/>
      <c r="IEO18" s="224"/>
      <c r="IEP18" s="225"/>
      <c r="IEQ18" s="226"/>
      <c r="IER18" s="227"/>
      <c r="IES18" s="228"/>
      <c r="IET18" s="228"/>
      <c r="IEU18" s="228"/>
      <c r="IEV18" s="228"/>
      <c r="IEW18" s="228"/>
      <c r="IEX18" s="228"/>
      <c r="IEY18" s="226"/>
      <c r="IEZ18" s="226"/>
      <c r="IFA18" s="224"/>
      <c r="IFB18" s="225"/>
      <c r="IFC18" s="226"/>
      <c r="IFD18" s="227"/>
      <c r="IFE18" s="228"/>
      <c r="IFF18" s="228"/>
      <c r="IFG18" s="228"/>
      <c r="IFH18" s="228"/>
      <c r="IFI18" s="228"/>
      <c r="IFJ18" s="228"/>
      <c r="IFK18" s="226"/>
      <c r="IFL18" s="226"/>
      <c r="IFM18" s="224"/>
      <c r="IFN18" s="225"/>
      <c r="IFO18" s="226"/>
      <c r="IFP18" s="227"/>
      <c r="IFQ18" s="228"/>
      <c r="IFR18" s="228"/>
      <c r="IFS18" s="228"/>
      <c r="IFT18" s="228"/>
      <c r="IFU18" s="228"/>
      <c r="IFV18" s="228"/>
      <c r="IFW18" s="226"/>
      <c r="IFX18" s="226"/>
      <c r="IFY18" s="224"/>
      <c r="IFZ18" s="225"/>
      <c r="IGA18" s="226"/>
      <c r="IGB18" s="227"/>
      <c r="IGC18" s="228"/>
      <c r="IGD18" s="228"/>
      <c r="IGE18" s="228"/>
      <c r="IGF18" s="228"/>
      <c r="IGG18" s="228"/>
      <c r="IGH18" s="228"/>
      <c r="IGI18" s="226"/>
      <c r="IGJ18" s="226"/>
      <c r="IGK18" s="224"/>
      <c r="IGL18" s="225"/>
      <c r="IGM18" s="226"/>
      <c r="IGN18" s="227"/>
      <c r="IGO18" s="228"/>
      <c r="IGP18" s="228"/>
      <c r="IGQ18" s="228"/>
      <c r="IGR18" s="228"/>
      <c r="IGS18" s="228"/>
      <c r="IGT18" s="228"/>
      <c r="IGU18" s="226"/>
      <c r="IGV18" s="226"/>
      <c r="IGW18" s="224"/>
      <c r="IGX18" s="225"/>
      <c r="IGY18" s="226"/>
      <c r="IGZ18" s="227"/>
      <c r="IHA18" s="228"/>
      <c r="IHB18" s="228"/>
      <c r="IHC18" s="228"/>
      <c r="IHD18" s="228"/>
      <c r="IHE18" s="228"/>
      <c r="IHF18" s="228"/>
      <c r="IHG18" s="226"/>
      <c r="IHH18" s="226"/>
      <c r="IHI18" s="224"/>
      <c r="IHJ18" s="225"/>
      <c r="IHK18" s="226"/>
      <c r="IHL18" s="227"/>
      <c r="IHM18" s="228"/>
      <c r="IHN18" s="228"/>
      <c r="IHO18" s="228"/>
      <c r="IHP18" s="228"/>
      <c r="IHQ18" s="228"/>
      <c r="IHR18" s="228"/>
      <c r="IHS18" s="226"/>
      <c r="IHT18" s="226"/>
      <c r="IHU18" s="224"/>
      <c r="IHV18" s="225"/>
      <c r="IHW18" s="226"/>
      <c r="IHX18" s="227"/>
      <c r="IHY18" s="228"/>
      <c r="IHZ18" s="228"/>
      <c r="IIA18" s="228"/>
      <c r="IIB18" s="228"/>
      <c r="IIC18" s="228"/>
      <c r="IID18" s="228"/>
      <c r="IIE18" s="226"/>
      <c r="IIF18" s="226"/>
      <c r="IIG18" s="224"/>
      <c r="IIH18" s="225"/>
      <c r="III18" s="226"/>
      <c r="IIJ18" s="227"/>
      <c r="IIK18" s="228"/>
      <c r="IIL18" s="228"/>
      <c r="IIM18" s="228"/>
      <c r="IIN18" s="228"/>
      <c r="IIO18" s="228"/>
      <c r="IIP18" s="228"/>
      <c r="IIQ18" s="226"/>
      <c r="IIR18" s="226"/>
      <c r="IIS18" s="224"/>
      <c r="IIT18" s="225"/>
      <c r="IIU18" s="226"/>
      <c r="IIV18" s="227"/>
      <c r="IIW18" s="228"/>
      <c r="IIX18" s="228"/>
      <c r="IIY18" s="228"/>
      <c r="IIZ18" s="228"/>
      <c r="IJA18" s="228"/>
      <c r="IJB18" s="228"/>
      <c r="IJC18" s="226"/>
      <c r="IJD18" s="226"/>
      <c r="IJE18" s="224"/>
      <c r="IJF18" s="225"/>
      <c r="IJG18" s="226"/>
      <c r="IJH18" s="227"/>
      <c r="IJI18" s="228"/>
      <c r="IJJ18" s="228"/>
      <c r="IJK18" s="228"/>
      <c r="IJL18" s="228"/>
      <c r="IJM18" s="228"/>
      <c r="IJN18" s="228"/>
      <c r="IJO18" s="226"/>
      <c r="IJP18" s="226"/>
      <c r="IJQ18" s="224"/>
      <c r="IJR18" s="225"/>
      <c r="IJS18" s="226"/>
      <c r="IJT18" s="227"/>
      <c r="IJU18" s="228"/>
      <c r="IJV18" s="228"/>
      <c r="IJW18" s="228"/>
      <c r="IJX18" s="228"/>
      <c r="IJY18" s="228"/>
      <c r="IJZ18" s="228"/>
      <c r="IKA18" s="226"/>
      <c r="IKB18" s="226"/>
      <c r="IKC18" s="224"/>
      <c r="IKD18" s="225"/>
      <c r="IKE18" s="226"/>
      <c r="IKF18" s="227"/>
      <c r="IKG18" s="228"/>
      <c r="IKH18" s="228"/>
      <c r="IKI18" s="228"/>
      <c r="IKJ18" s="228"/>
      <c r="IKK18" s="228"/>
      <c r="IKL18" s="228"/>
      <c r="IKM18" s="226"/>
      <c r="IKN18" s="226"/>
      <c r="IKO18" s="224"/>
      <c r="IKP18" s="225"/>
      <c r="IKQ18" s="226"/>
      <c r="IKR18" s="227"/>
      <c r="IKS18" s="228"/>
      <c r="IKT18" s="228"/>
      <c r="IKU18" s="228"/>
      <c r="IKV18" s="228"/>
      <c r="IKW18" s="228"/>
      <c r="IKX18" s="228"/>
      <c r="IKY18" s="226"/>
      <c r="IKZ18" s="226"/>
      <c r="ILA18" s="224"/>
      <c r="ILB18" s="225"/>
      <c r="ILC18" s="226"/>
      <c r="ILD18" s="227"/>
      <c r="ILE18" s="228"/>
      <c r="ILF18" s="228"/>
      <c r="ILG18" s="228"/>
      <c r="ILH18" s="228"/>
      <c r="ILI18" s="228"/>
      <c r="ILJ18" s="228"/>
      <c r="ILK18" s="226"/>
      <c r="ILL18" s="226"/>
      <c r="ILM18" s="224"/>
      <c r="ILN18" s="225"/>
      <c r="ILO18" s="226"/>
      <c r="ILP18" s="227"/>
      <c r="ILQ18" s="228"/>
      <c r="ILR18" s="228"/>
      <c r="ILS18" s="228"/>
      <c r="ILT18" s="228"/>
      <c r="ILU18" s="228"/>
      <c r="ILV18" s="228"/>
      <c r="ILW18" s="226"/>
      <c r="ILX18" s="226"/>
      <c r="ILY18" s="224"/>
      <c r="ILZ18" s="225"/>
      <c r="IMA18" s="226"/>
      <c r="IMB18" s="227"/>
      <c r="IMC18" s="228"/>
      <c r="IMD18" s="228"/>
      <c r="IME18" s="228"/>
      <c r="IMF18" s="228"/>
      <c r="IMG18" s="228"/>
      <c r="IMH18" s="228"/>
      <c r="IMI18" s="226"/>
      <c r="IMJ18" s="226"/>
      <c r="IMK18" s="224"/>
      <c r="IML18" s="225"/>
      <c r="IMM18" s="226"/>
      <c r="IMN18" s="227"/>
      <c r="IMO18" s="228"/>
      <c r="IMP18" s="228"/>
      <c r="IMQ18" s="228"/>
      <c r="IMR18" s="228"/>
      <c r="IMS18" s="228"/>
      <c r="IMT18" s="228"/>
      <c r="IMU18" s="226"/>
      <c r="IMV18" s="226"/>
      <c r="IMW18" s="224"/>
      <c r="IMX18" s="225"/>
      <c r="IMY18" s="226"/>
      <c r="IMZ18" s="227"/>
      <c r="INA18" s="228"/>
      <c r="INB18" s="228"/>
      <c r="INC18" s="228"/>
      <c r="IND18" s="228"/>
      <c r="INE18" s="228"/>
      <c r="INF18" s="228"/>
      <c r="ING18" s="226"/>
      <c r="INH18" s="226"/>
      <c r="INI18" s="224"/>
      <c r="INJ18" s="225"/>
      <c r="INK18" s="226"/>
      <c r="INL18" s="227"/>
      <c r="INM18" s="228"/>
      <c r="INN18" s="228"/>
      <c r="INO18" s="228"/>
      <c r="INP18" s="228"/>
      <c r="INQ18" s="228"/>
      <c r="INR18" s="228"/>
      <c r="INS18" s="226"/>
      <c r="INT18" s="226"/>
      <c r="INU18" s="224"/>
      <c r="INV18" s="225"/>
      <c r="INW18" s="226"/>
      <c r="INX18" s="227"/>
      <c r="INY18" s="228"/>
      <c r="INZ18" s="228"/>
      <c r="IOA18" s="228"/>
      <c r="IOB18" s="228"/>
      <c r="IOC18" s="228"/>
      <c r="IOD18" s="228"/>
      <c r="IOE18" s="226"/>
      <c r="IOF18" s="226"/>
      <c r="IOG18" s="224"/>
      <c r="IOH18" s="225"/>
      <c r="IOI18" s="226"/>
      <c r="IOJ18" s="227"/>
      <c r="IOK18" s="228"/>
      <c r="IOL18" s="228"/>
      <c r="IOM18" s="228"/>
      <c r="ION18" s="228"/>
      <c r="IOO18" s="228"/>
      <c r="IOP18" s="228"/>
      <c r="IOQ18" s="226"/>
      <c r="IOR18" s="226"/>
      <c r="IOS18" s="224"/>
      <c r="IOT18" s="225"/>
      <c r="IOU18" s="226"/>
      <c r="IOV18" s="227"/>
      <c r="IOW18" s="228"/>
      <c r="IOX18" s="228"/>
      <c r="IOY18" s="228"/>
      <c r="IOZ18" s="228"/>
      <c r="IPA18" s="228"/>
      <c r="IPB18" s="228"/>
      <c r="IPC18" s="226"/>
      <c r="IPD18" s="226"/>
      <c r="IPE18" s="224"/>
      <c r="IPF18" s="225"/>
      <c r="IPG18" s="226"/>
      <c r="IPH18" s="227"/>
      <c r="IPI18" s="228"/>
      <c r="IPJ18" s="228"/>
      <c r="IPK18" s="228"/>
      <c r="IPL18" s="228"/>
      <c r="IPM18" s="228"/>
      <c r="IPN18" s="228"/>
      <c r="IPO18" s="226"/>
      <c r="IPP18" s="226"/>
      <c r="IPQ18" s="224"/>
      <c r="IPR18" s="225"/>
      <c r="IPS18" s="226"/>
      <c r="IPT18" s="227"/>
      <c r="IPU18" s="228"/>
      <c r="IPV18" s="228"/>
      <c r="IPW18" s="228"/>
      <c r="IPX18" s="228"/>
      <c r="IPY18" s="228"/>
      <c r="IPZ18" s="228"/>
      <c r="IQA18" s="226"/>
      <c r="IQB18" s="226"/>
      <c r="IQC18" s="224"/>
      <c r="IQD18" s="225"/>
      <c r="IQE18" s="226"/>
      <c r="IQF18" s="227"/>
      <c r="IQG18" s="228"/>
      <c r="IQH18" s="228"/>
      <c r="IQI18" s="228"/>
      <c r="IQJ18" s="228"/>
      <c r="IQK18" s="228"/>
      <c r="IQL18" s="228"/>
      <c r="IQM18" s="226"/>
      <c r="IQN18" s="226"/>
      <c r="IQO18" s="224"/>
      <c r="IQP18" s="225"/>
      <c r="IQQ18" s="226"/>
      <c r="IQR18" s="227"/>
      <c r="IQS18" s="228"/>
      <c r="IQT18" s="228"/>
      <c r="IQU18" s="228"/>
      <c r="IQV18" s="228"/>
      <c r="IQW18" s="228"/>
      <c r="IQX18" s="228"/>
      <c r="IQY18" s="226"/>
      <c r="IQZ18" s="226"/>
      <c r="IRA18" s="224"/>
      <c r="IRB18" s="225"/>
      <c r="IRC18" s="226"/>
      <c r="IRD18" s="227"/>
      <c r="IRE18" s="228"/>
      <c r="IRF18" s="228"/>
      <c r="IRG18" s="228"/>
      <c r="IRH18" s="228"/>
      <c r="IRI18" s="228"/>
      <c r="IRJ18" s="228"/>
      <c r="IRK18" s="226"/>
      <c r="IRL18" s="226"/>
      <c r="IRM18" s="224"/>
      <c r="IRN18" s="225"/>
      <c r="IRO18" s="226"/>
      <c r="IRP18" s="227"/>
      <c r="IRQ18" s="228"/>
      <c r="IRR18" s="228"/>
      <c r="IRS18" s="228"/>
      <c r="IRT18" s="228"/>
      <c r="IRU18" s="228"/>
      <c r="IRV18" s="228"/>
      <c r="IRW18" s="226"/>
      <c r="IRX18" s="226"/>
      <c r="IRY18" s="224"/>
      <c r="IRZ18" s="225"/>
      <c r="ISA18" s="226"/>
      <c r="ISB18" s="227"/>
      <c r="ISC18" s="228"/>
      <c r="ISD18" s="228"/>
      <c r="ISE18" s="228"/>
      <c r="ISF18" s="228"/>
      <c r="ISG18" s="228"/>
      <c r="ISH18" s="228"/>
      <c r="ISI18" s="226"/>
      <c r="ISJ18" s="226"/>
      <c r="ISK18" s="224"/>
      <c r="ISL18" s="225"/>
      <c r="ISM18" s="226"/>
      <c r="ISN18" s="227"/>
      <c r="ISO18" s="228"/>
      <c r="ISP18" s="228"/>
      <c r="ISQ18" s="228"/>
      <c r="ISR18" s="228"/>
      <c r="ISS18" s="228"/>
      <c r="IST18" s="228"/>
      <c r="ISU18" s="226"/>
      <c r="ISV18" s="226"/>
      <c r="ISW18" s="224"/>
      <c r="ISX18" s="225"/>
      <c r="ISY18" s="226"/>
      <c r="ISZ18" s="227"/>
      <c r="ITA18" s="228"/>
      <c r="ITB18" s="228"/>
      <c r="ITC18" s="228"/>
      <c r="ITD18" s="228"/>
      <c r="ITE18" s="228"/>
      <c r="ITF18" s="228"/>
      <c r="ITG18" s="226"/>
      <c r="ITH18" s="226"/>
      <c r="ITI18" s="224"/>
      <c r="ITJ18" s="225"/>
      <c r="ITK18" s="226"/>
      <c r="ITL18" s="227"/>
      <c r="ITM18" s="228"/>
      <c r="ITN18" s="228"/>
      <c r="ITO18" s="228"/>
      <c r="ITP18" s="228"/>
      <c r="ITQ18" s="228"/>
      <c r="ITR18" s="228"/>
      <c r="ITS18" s="226"/>
      <c r="ITT18" s="226"/>
      <c r="ITU18" s="224"/>
      <c r="ITV18" s="225"/>
      <c r="ITW18" s="226"/>
      <c r="ITX18" s="227"/>
      <c r="ITY18" s="228"/>
      <c r="ITZ18" s="228"/>
      <c r="IUA18" s="228"/>
      <c r="IUB18" s="228"/>
      <c r="IUC18" s="228"/>
      <c r="IUD18" s="228"/>
      <c r="IUE18" s="226"/>
      <c r="IUF18" s="226"/>
      <c r="IUG18" s="224"/>
      <c r="IUH18" s="225"/>
      <c r="IUI18" s="226"/>
      <c r="IUJ18" s="227"/>
      <c r="IUK18" s="228"/>
      <c r="IUL18" s="228"/>
      <c r="IUM18" s="228"/>
      <c r="IUN18" s="228"/>
      <c r="IUO18" s="228"/>
      <c r="IUP18" s="228"/>
      <c r="IUQ18" s="226"/>
      <c r="IUR18" s="226"/>
      <c r="IUS18" s="224"/>
      <c r="IUT18" s="225"/>
      <c r="IUU18" s="226"/>
      <c r="IUV18" s="227"/>
      <c r="IUW18" s="228"/>
      <c r="IUX18" s="228"/>
      <c r="IUY18" s="228"/>
      <c r="IUZ18" s="228"/>
      <c r="IVA18" s="228"/>
      <c r="IVB18" s="228"/>
      <c r="IVC18" s="226"/>
      <c r="IVD18" s="226"/>
      <c r="IVE18" s="224"/>
      <c r="IVF18" s="225"/>
      <c r="IVG18" s="226"/>
      <c r="IVH18" s="227"/>
      <c r="IVI18" s="228"/>
      <c r="IVJ18" s="228"/>
      <c r="IVK18" s="228"/>
      <c r="IVL18" s="228"/>
      <c r="IVM18" s="228"/>
      <c r="IVN18" s="228"/>
      <c r="IVO18" s="226"/>
      <c r="IVP18" s="226"/>
      <c r="IVQ18" s="224"/>
      <c r="IVR18" s="225"/>
      <c r="IVS18" s="226"/>
      <c r="IVT18" s="227"/>
      <c r="IVU18" s="228"/>
      <c r="IVV18" s="228"/>
      <c r="IVW18" s="228"/>
      <c r="IVX18" s="228"/>
      <c r="IVY18" s="228"/>
      <c r="IVZ18" s="228"/>
      <c r="IWA18" s="226"/>
      <c r="IWB18" s="226"/>
      <c r="IWC18" s="224"/>
      <c r="IWD18" s="225"/>
      <c r="IWE18" s="226"/>
      <c r="IWF18" s="227"/>
      <c r="IWG18" s="228"/>
      <c r="IWH18" s="228"/>
      <c r="IWI18" s="228"/>
      <c r="IWJ18" s="228"/>
      <c r="IWK18" s="228"/>
      <c r="IWL18" s="228"/>
      <c r="IWM18" s="226"/>
      <c r="IWN18" s="226"/>
      <c r="IWO18" s="224"/>
      <c r="IWP18" s="225"/>
      <c r="IWQ18" s="226"/>
      <c r="IWR18" s="227"/>
      <c r="IWS18" s="228"/>
      <c r="IWT18" s="228"/>
      <c r="IWU18" s="228"/>
      <c r="IWV18" s="228"/>
      <c r="IWW18" s="228"/>
      <c r="IWX18" s="228"/>
      <c r="IWY18" s="226"/>
      <c r="IWZ18" s="226"/>
      <c r="IXA18" s="224"/>
      <c r="IXB18" s="225"/>
      <c r="IXC18" s="226"/>
      <c r="IXD18" s="227"/>
      <c r="IXE18" s="228"/>
      <c r="IXF18" s="228"/>
      <c r="IXG18" s="228"/>
      <c r="IXH18" s="228"/>
      <c r="IXI18" s="228"/>
      <c r="IXJ18" s="228"/>
      <c r="IXK18" s="226"/>
      <c r="IXL18" s="226"/>
      <c r="IXM18" s="224"/>
      <c r="IXN18" s="225"/>
      <c r="IXO18" s="226"/>
      <c r="IXP18" s="227"/>
      <c r="IXQ18" s="228"/>
      <c r="IXR18" s="228"/>
      <c r="IXS18" s="228"/>
      <c r="IXT18" s="228"/>
      <c r="IXU18" s="228"/>
      <c r="IXV18" s="228"/>
      <c r="IXW18" s="226"/>
      <c r="IXX18" s="226"/>
      <c r="IXY18" s="224"/>
      <c r="IXZ18" s="225"/>
      <c r="IYA18" s="226"/>
      <c r="IYB18" s="227"/>
      <c r="IYC18" s="228"/>
      <c r="IYD18" s="228"/>
      <c r="IYE18" s="228"/>
      <c r="IYF18" s="228"/>
      <c r="IYG18" s="228"/>
      <c r="IYH18" s="228"/>
      <c r="IYI18" s="226"/>
      <c r="IYJ18" s="226"/>
      <c r="IYK18" s="224"/>
      <c r="IYL18" s="225"/>
      <c r="IYM18" s="226"/>
      <c r="IYN18" s="227"/>
      <c r="IYO18" s="228"/>
      <c r="IYP18" s="228"/>
      <c r="IYQ18" s="228"/>
      <c r="IYR18" s="228"/>
      <c r="IYS18" s="228"/>
      <c r="IYT18" s="228"/>
      <c r="IYU18" s="226"/>
      <c r="IYV18" s="226"/>
      <c r="IYW18" s="224"/>
      <c r="IYX18" s="225"/>
      <c r="IYY18" s="226"/>
      <c r="IYZ18" s="227"/>
      <c r="IZA18" s="228"/>
      <c r="IZB18" s="228"/>
      <c r="IZC18" s="228"/>
      <c r="IZD18" s="228"/>
      <c r="IZE18" s="228"/>
      <c r="IZF18" s="228"/>
      <c r="IZG18" s="226"/>
      <c r="IZH18" s="226"/>
      <c r="IZI18" s="224"/>
      <c r="IZJ18" s="225"/>
      <c r="IZK18" s="226"/>
      <c r="IZL18" s="227"/>
      <c r="IZM18" s="228"/>
      <c r="IZN18" s="228"/>
      <c r="IZO18" s="228"/>
      <c r="IZP18" s="228"/>
      <c r="IZQ18" s="228"/>
      <c r="IZR18" s="228"/>
      <c r="IZS18" s="226"/>
      <c r="IZT18" s="226"/>
      <c r="IZU18" s="224"/>
      <c r="IZV18" s="225"/>
      <c r="IZW18" s="226"/>
      <c r="IZX18" s="227"/>
      <c r="IZY18" s="228"/>
      <c r="IZZ18" s="228"/>
      <c r="JAA18" s="228"/>
      <c r="JAB18" s="228"/>
      <c r="JAC18" s="228"/>
      <c r="JAD18" s="228"/>
      <c r="JAE18" s="226"/>
      <c r="JAF18" s="226"/>
      <c r="JAG18" s="224"/>
      <c r="JAH18" s="225"/>
      <c r="JAI18" s="226"/>
      <c r="JAJ18" s="227"/>
      <c r="JAK18" s="228"/>
      <c r="JAL18" s="228"/>
      <c r="JAM18" s="228"/>
      <c r="JAN18" s="228"/>
      <c r="JAO18" s="228"/>
      <c r="JAP18" s="228"/>
      <c r="JAQ18" s="226"/>
      <c r="JAR18" s="226"/>
      <c r="JAS18" s="224"/>
      <c r="JAT18" s="225"/>
      <c r="JAU18" s="226"/>
      <c r="JAV18" s="227"/>
      <c r="JAW18" s="228"/>
      <c r="JAX18" s="228"/>
      <c r="JAY18" s="228"/>
      <c r="JAZ18" s="228"/>
      <c r="JBA18" s="228"/>
      <c r="JBB18" s="228"/>
      <c r="JBC18" s="226"/>
      <c r="JBD18" s="226"/>
      <c r="JBE18" s="224"/>
      <c r="JBF18" s="225"/>
      <c r="JBG18" s="226"/>
      <c r="JBH18" s="227"/>
      <c r="JBI18" s="228"/>
      <c r="JBJ18" s="228"/>
      <c r="JBK18" s="228"/>
      <c r="JBL18" s="228"/>
      <c r="JBM18" s="228"/>
      <c r="JBN18" s="228"/>
      <c r="JBO18" s="226"/>
      <c r="JBP18" s="226"/>
      <c r="JBQ18" s="224"/>
      <c r="JBR18" s="225"/>
      <c r="JBS18" s="226"/>
      <c r="JBT18" s="227"/>
      <c r="JBU18" s="228"/>
      <c r="JBV18" s="228"/>
      <c r="JBW18" s="228"/>
      <c r="JBX18" s="228"/>
      <c r="JBY18" s="228"/>
      <c r="JBZ18" s="228"/>
      <c r="JCA18" s="226"/>
      <c r="JCB18" s="226"/>
      <c r="JCC18" s="224"/>
      <c r="JCD18" s="225"/>
      <c r="JCE18" s="226"/>
      <c r="JCF18" s="227"/>
      <c r="JCG18" s="228"/>
      <c r="JCH18" s="228"/>
      <c r="JCI18" s="228"/>
      <c r="JCJ18" s="228"/>
      <c r="JCK18" s="228"/>
      <c r="JCL18" s="228"/>
      <c r="JCM18" s="226"/>
      <c r="JCN18" s="226"/>
      <c r="JCO18" s="224"/>
      <c r="JCP18" s="225"/>
      <c r="JCQ18" s="226"/>
      <c r="JCR18" s="227"/>
      <c r="JCS18" s="228"/>
      <c r="JCT18" s="228"/>
      <c r="JCU18" s="228"/>
      <c r="JCV18" s="228"/>
      <c r="JCW18" s="228"/>
      <c r="JCX18" s="228"/>
      <c r="JCY18" s="226"/>
      <c r="JCZ18" s="226"/>
      <c r="JDA18" s="224"/>
      <c r="JDB18" s="225"/>
      <c r="JDC18" s="226"/>
      <c r="JDD18" s="227"/>
      <c r="JDE18" s="228"/>
      <c r="JDF18" s="228"/>
      <c r="JDG18" s="228"/>
      <c r="JDH18" s="228"/>
      <c r="JDI18" s="228"/>
      <c r="JDJ18" s="228"/>
      <c r="JDK18" s="226"/>
      <c r="JDL18" s="226"/>
      <c r="JDM18" s="224"/>
      <c r="JDN18" s="225"/>
      <c r="JDO18" s="226"/>
      <c r="JDP18" s="227"/>
      <c r="JDQ18" s="228"/>
      <c r="JDR18" s="228"/>
      <c r="JDS18" s="228"/>
      <c r="JDT18" s="228"/>
      <c r="JDU18" s="228"/>
      <c r="JDV18" s="228"/>
      <c r="JDW18" s="226"/>
      <c r="JDX18" s="226"/>
      <c r="JDY18" s="224"/>
      <c r="JDZ18" s="225"/>
      <c r="JEA18" s="226"/>
      <c r="JEB18" s="227"/>
      <c r="JEC18" s="228"/>
      <c r="JED18" s="228"/>
      <c r="JEE18" s="228"/>
      <c r="JEF18" s="228"/>
      <c r="JEG18" s="228"/>
      <c r="JEH18" s="228"/>
      <c r="JEI18" s="226"/>
      <c r="JEJ18" s="226"/>
      <c r="JEK18" s="224"/>
      <c r="JEL18" s="225"/>
      <c r="JEM18" s="226"/>
      <c r="JEN18" s="227"/>
      <c r="JEO18" s="228"/>
      <c r="JEP18" s="228"/>
      <c r="JEQ18" s="228"/>
      <c r="JER18" s="228"/>
      <c r="JES18" s="228"/>
      <c r="JET18" s="228"/>
      <c r="JEU18" s="226"/>
      <c r="JEV18" s="226"/>
      <c r="JEW18" s="224"/>
      <c r="JEX18" s="225"/>
      <c r="JEY18" s="226"/>
      <c r="JEZ18" s="227"/>
      <c r="JFA18" s="228"/>
      <c r="JFB18" s="228"/>
      <c r="JFC18" s="228"/>
      <c r="JFD18" s="228"/>
      <c r="JFE18" s="228"/>
      <c r="JFF18" s="228"/>
      <c r="JFG18" s="226"/>
      <c r="JFH18" s="226"/>
      <c r="JFI18" s="224"/>
      <c r="JFJ18" s="225"/>
      <c r="JFK18" s="226"/>
      <c r="JFL18" s="227"/>
      <c r="JFM18" s="228"/>
      <c r="JFN18" s="228"/>
      <c r="JFO18" s="228"/>
      <c r="JFP18" s="228"/>
      <c r="JFQ18" s="228"/>
      <c r="JFR18" s="228"/>
      <c r="JFS18" s="226"/>
      <c r="JFT18" s="226"/>
      <c r="JFU18" s="224"/>
      <c r="JFV18" s="225"/>
      <c r="JFW18" s="226"/>
      <c r="JFX18" s="227"/>
      <c r="JFY18" s="228"/>
      <c r="JFZ18" s="228"/>
      <c r="JGA18" s="228"/>
      <c r="JGB18" s="228"/>
      <c r="JGC18" s="228"/>
      <c r="JGD18" s="228"/>
      <c r="JGE18" s="226"/>
      <c r="JGF18" s="226"/>
      <c r="JGG18" s="224"/>
      <c r="JGH18" s="225"/>
      <c r="JGI18" s="226"/>
      <c r="JGJ18" s="227"/>
      <c r="JGK18" s="228"/>
      <c r="JGL18" s="228"/>
      <c r="JGM18" s="228"/>
      <c r="JGN18" s="228"/>
      <c r="JGO18" s="228"/>
      <c r="JGP18" s="228"/>
      <c r="JGQ18" s="226"/>
      <c r="JGR18" s="226"/>
      <c r="JGS18" s="224"/>
      <c r="JGT18" s="225"/>
      <c r="JGU18" s="226"/>
      <c r="JGV18" s="227"/>
      <c r="JGW18" s="228"/>
      <c r="JGX18" s="228"/>
      <c r="JGY18" s="228"/>
      <c r="JGZ18" s="228"/>
      <c r="JHA18" s="228"/>
      <c r="JHB18" s="228"/>
      <c r="JHC18" s="226"/>
      <c r="JHD18" s="226"/>
      <c r="JHE18" s="224"/>
      <c r="JHF18" s="225"/>
      <c r="JHG18" s="226"/>
      <c r="JHH18" s="227"/>
      <c r="JHI18" s="228"/>
      <c r="JHJ18" s="228"/>
      <c r="JHK18" s="228"/>
      <c r="JHL18" s="228"/>
      <c r="JHM18" s="228"/>
      <c r="JHN18" s="228"/>
      <c r="JHO18" s="226"/>
      <c r="JHP18" s="226"/>
      <c r="JHQ18" s="224"/>
      <c r="JHR18" s="225"/>
      <c r="JHS18" s="226"/>
      <c r="JHT18" s="227"/>
      <c r="JHU18" s="228"/>
      <c r="JHV18" s="228"/>
      <c r="JHW18" s="228"/>
      <c r="JHX18" s="228"/>
      <c r="JHY18" s="228"/>
      <c r="JHZ18" s="228"/>
      <c r="JIA18" s="226"/>
      <c r="JIB18" s="226"/>
      <c r="JIC18" s="224"/>
      <c r="JID18" s="225"/>
      <c r="JIE18" s="226"/>
      <c r="JIF18" s="227"/>
      <c r="JIG18" s="228"/>
      <c r="JIH18" s="228"/>
      <c r="JII18" s="228"/>
      <c r="JIJ18" s="228"/>
      <c r="JIK18" s="228"/>
      <c r="JIL18" s="228"/>
      <c r="JIM18" s="226"/>
      <c r="JIN18" s="226"/>
      <c r="JIO18" s="224"/>
      <c r="JIP18" s="225"/>
      <c r="JIQ18" s="226"/>
      <c r="JIR18" s="227"/>
      <c r="JIS18" s="228"/>
      <c r="JIT18" s="228"/>
      <c r="JIU18" s="228"/>
      <c r="JIV18" s="228"/>
      <c r="JIW18" s="228"/>
      <c r="JIX18" s="228"/>
      <c r="JIY18" s="226"/>
      <c r="JIZ18" s="226"/>
      <c r="JJA18" s="224"/>
      <c r="JJB18" s="225"/>
      <c r="JJC18" s="226"/>
      <c r="JJD18" s="227"/>
      <c r="JJE18" s="228"/>
      <c r="JJF18" s="228"/>
      <c r="JJG18" s="228"/>
      <c r="JJH18" s="228"/>
      <c r="JJI18" s="228"/>
      <c r="JJJ18" s="228"/>
      <c r="JJK18" s="226"/>
      <c r="JJL18" s="226"/>
      <c r="JJM18" s="224"/>
      <c r="JJN18" s="225"/>
      <c r="JJO18" s="226"/>
      <c r="JJP18" s="227"/>
      <c r="JJQ18" s="228"/>
      <c r="JJR18" s="228"/>
      <c r="JJS18" s="228"/>
      <c r="JJT18" s="228"/>
      <c r="JJU18" s="228"/>
      <c r="JJV18" s="228"/>
      <c r="JJW18" s="226"/>
      <c r="JJX18" s="226"/>
      <c r="JJY18" s="224"/>
      <c r="JJZ18" s="225"/>
      <c r="JKA18" s="226"/>
      <c r="JKB18" s="227"/>
      <c r="JKC18" s="228"/>
      <c r="JKD18" s="228"/>
      <c r="JKE18" s="228"/>
      <c r="JKF18" s="228"/>
      <c r="JKG18" s="228"/>
      <c r="JKH18" s="228"/>
      <c r="JKI18" s="226"/>
      <c r="JKJ18" s="226"/>
      <c r="JKK18" s="224"/>
      <c r="JKL18" s="225"/>
      <c r="JKM18" s="226"/>
      <c r="JKN18" s="227"/>
      <c r="JKO18" s="228"/>
      <c r="JKP18" s="228"/>
      <c r="JKQ18" s="228"/>
      <c r="JKR18" s="228"/>
      <c r="JKS18" s="228"/>
      <c r="JKT18" s="228"/>
      <c r="JKU18" s="226"/>
      <c r="JKV18" s="226"/>
      <c r="JKW18" s="224"/>
      <c r="JKX18" s="225"/>
      <c r="JKY18" s="226"/>
      <c r="JKZ18" s="227"/>
      <c r="JLA18" s="228"/>
      <c r="JLB18" s="228"/>
      <c r="JLC18" s="228"/>
      <c r="JLD18" s="228"/>
      <c r="JLE18" s="228"/>
      <c r="JLF18" s="228"/>
      <c r="JLG18" s="226"/>
      <c r="JLH18" s="226"/>
      <c r="JLI18" s="224"/>
      <c r="JLJ18" s="225"/>
      <c r="JLK18" s="226"/>
      <c r="JLL18" s="227"/>
      <c r="JLM18" s="228"/>
      <c r="JLN18" s="228"/>
      <c r="JLO18" s="228"/>
      <c r="JLP18" s="228"/>
      <c r="JLQ18" s="228"/>
      <c r="JLR18" s="228"/>
      <c r="JLS18" s="226"/>
      <c r="JLT18" s="226"/>
      <c r="JLU18" s="224"/>
      <c r="JLV18" s="225"/>
      <c r="JLW18" s="226"/>
      <c r="JLX18" s="227"/>
      <c r="JLY18" s="228"/>
      <c r="JLZ18" s="228"/>
      <c r="JMA18" s="228"/>
      <c r="JMB18" s="228"/>
      <c r="JMC18" s="228"/>
      <c r="JMD18" s="228"/>
      <c r="JME18" s="226"/>
      <c r="JMF18" s="226"/>
      <c r="JMG18" s="224"/>
      <c r="JMH18" s="225"/>
      <c r="JMI18" s="226"/>
      <c r="JMJ18" s="227"/>
      <c r="JMK18" s="228"/>
      <c r="JML18" s="228"/>
      <c r="JMM18" s="228"/>
      <c r="JMN18" s="228"/>
      <c r="JMO18" s="228"/>
      <c r="JMP18" s="228"/>
      <c r="JMQ18" s="226"/>
      <c r="JMR18" s="226"/>
      <c r="JMS18" s="224"/>
      <c r="JMT18" s="225"/>
      <c r="JMU18" s="226"/>
      <c r="JMV18" s="227"/>
      <c r="JMW18" s="228"/>
      <c r="JMX18" s="228"/>
      <c r="JMY18" s="228"/>
      <c r="JMZ18" s="228"/>
      <c r="JNA18" s="228"/>
      <c r="JNB18" s="228"/>
      <c r="JNC18" s="226"/>
      <c r="JND18" s="226"/>
      <c r="JNE18" s="224"/>
      <c r="JNF18" s="225"/>
      <c r="JNG18" s="226"/>
      <c r="JNH18" s="227"/>
      <c r="JNI18" s="228"/>
      <c r="JNJ18" s="228"/>
      <c r="JNK18" s="228"/>
      <c r="JNL18" s="228"/>
      <c r="JNM18" s="228"/>
      <c r="JNN18" s="228"/>
      <c r="JNO18" s="226"/>
      <c r="JNP18" s="226"/>
      <c r="JNQ18" s="224"/>
      <c r="JNR18" s="225"/>
      <c r="JNS18" s="226"/>
      <c r="JNT18" s="227"/>
      <c r="JNU18" s="228"/>
      <c r="JNV18" s="228"/>
      <c r="JNW18" s="228"/>
      <c r="JNX18" s="228"/>
      <c r="JNY18" s="228"/>
      <c r="JNZ18" s="228"/>
      <c r="JOA18" s="226"/>
      <c r="JOB18" s="226"/>
      <c r="JOC18" s="224"/>
      <c r="JOD18" s="225"/>
      <c r="JOE18" s="226"/>
      <c r="JOF18" s="227"/>
      <c r="JOG18" s="228"/>
      <c r="JOH18" s="228"/>
      <c r="JOI18" s="228"/>
      <c r="JOJ18" s="228"/>
      <c r="JOK18" s="228"/>
      <c r="JOL18" s="228"/>
      <c r="JOM18" s="226"/>
      <c r="JON18" s="226"/>
      <c r="JOO18" s="224"/>
      <c r="JOP18" s="225"/>
      <c r="JOQ18" s="226"/>
      <c r="JOR18" s="227"/>
      <c r="JOS18" s="228"/>
      <c r="JOT18" s="228"/>
      <c r="JOU18" s="228"/>
      <c r="JOV18" s="228"/>
      <c r="JOW18" s="228"/>
      <c r="JOX18" s="228"/>
      <c r="JOY18" s="226"/>
      <c r="JOZ18" s="226"/>
      <c r="JPA18" s="224"/>
      <c r="JPB18" s="225"/>
      <c r="JPC18" s="226"/>
      <c r="JPD18" s="227"/>
      <c r="JPE18" s="228"/>
      <c r="JPF18" s="228"/>
      <c r="JPG18" s="228"/>
      <c r="JPH18" s="228"/>
      <c r="JPI18" s="228"/>
      <c r="JPJ18" s="228"/>
      <c r="JPK18" s="226"/>
      <c r="JPL18" s="226"/>
      <c r="JPM18" s="224"/>
      <c r="JPN18" s="225"/>
      <c r="JPO18" s="226"/>
      <c r="JPP18" s="227"/>
      <c r="JPQ18" s="228"/>
      <c r="JPR18" s="228"/>
      <c r="JPS18" s="228"/>
      <c r="JPT18" s="228"/>
      <c r="JPU18" s="228"/>
      <c r="JPV18" s="228"/>
      <c r="JPW18" s="226"/>
      <c r="JPX18" s="226"/>
      <c r="JPY18" s="224"/>
      <c r="JPZ18" s="225"/>
      <c r="JQA18" s="226"/>
      <c r="JQB18" s="227"/>
      <c r="JQC18" s="228"/>
      <c r="JQD18" s="228"/>
      <c r="JQE18" s="228"/>
      <c r="JQF18" s="228"/>
      <c r="JQG18" s="228"/>
      <c r="JQH18" s="228"/>
      <c r="JQI18" s="226"/>
      <c r="JQJ18" s="226"/>
      <c r="JQK18" s="224"/>
      <c r="JQL18" s="225"/>
      <c r="JQM18" s="226"/>
      <c r="JQN18" s="227"/>
      <c r="JQO18" s="228"/>
      <c r="JQP18" s="228"/>
      <c r="JQQ18" s="228"/>
      <c r="JQR18" s="228"/>
      <c r="JQS18" s="228"/>
      <c r="JQT18" s="228"/>
      <c r="JQU18" s="226"/>
      <c r="JQV18" s="226"/>
      <c r="JQW18" s="224"/>
      <c r="JQX18" s="225"/>
      <c r="JQY18" s="226"/>
      <c r="JQZ18" s="227"/>
      <c r="JRA18" s="228"/>
      <c r="JRB18" s="228"/>
      <c r="JRC18" s="228"/>
      <c r="JRD18" s="228"/>
      <c r="JRE18" s="228"/>
      <c r="JRF18" s="228"/>
      <c r="JRG18" s="226"/>
      <c r="JRH18" s="226"/>
      <c r="JRI18" s="224"/>
      <c r="JRJ18" s="225"/>
      <c r="JRK18" s="226"/>
      <c r="JRL18" s="227"/>
      <c r="JRM18" s="228"/>
      <c r="JRN18" s="228"/>
      <c r="JRO18" s="228"/>
      <c r="JRP18" s="228"/>
      <c r="JRQ18" s="228"/>
      <c r="JRR18" s="228"/>
      <c r="JRS18" s="226"/>
      <c r="JRT18" s="226"/>
      <c r="JRU18" s="224"/>
      <c r="JRV18" s="225"/>
      <c r="JRW18" s="226"/>
      <c r="JRX18" s="227"/>
      <c r="JRY18" s="228"/>
      <c r="JRZ18" s="228"/>
      <c r="JSA18" s="228"/>
      <c r="JSB18" s="228"/>
      <c r="JSC18" s="228"/>
      <c r="JSD18" s="228"/>
      <c r="JSE18" s="226"/>
      <c r="JSF18" s="226"/>
      <c r="JSG18" s="224"/>
      <c r="JSH18" s="225"/>
      <c r="JSI18" s="226"/>
      <c r="JSJ18" s="227"/>
      <c r="JSK18" s="228"/>
      <c r="JSL18" s="228"/>
      <c r="JSM18" s="228"/>
      <c r="JSN18" s="228"/>
      <c r="JSO18" s="228"/>
      <c r="JSP18" s="228"/>
      <c r="JSQ18" s="226"/>
      <c r="JSR18" s="226"/>
      <c r="JSS18" s="224"/>
      <c r="JST18" s="225"/>
      <c r="JSU18" s="226"/>
      <c r="JSV18" s="227"/>
      <c r="JSW18" s="228"/>
      <c r="JSX18" s="228"/>
      <c r="JSY18" s="228"/>
      <c r="JSZ18" s="228"/>
      <c r="JTA18" s="228"/>
      <c r="JTB18" s="228"/>
      <c r="JTC18" s="226"/>
      <c r="JTD18" s="226"/>
      <c r="JTE18" s="224"/>
      <c r="JTF18" s="225"/>
      <c r="JTG18" s="226"/>
      <c r="JTH18" s="227"/>
      <c r="JTI18" s="228"/>
      <c r="JTJ18" s="228"/>
      <c r="JTK18" s="228"/>
      <c r="JTL18" s="228"/>
      <c r="JTM18" s="228"/>
      <c r="JTN18" s="228"/>
      <c r="JTO18" s="226"/>
      <c r="JTP18" s="226"/>
      <c r="JTQ18" s="224"/>
      <c r="JTR18" s="225"/>
      <c r="JTS18" s="226"/>
      <c r="JTT18" s="227"/>
      <c r="JTU18" s="228"/>
      <c r="JTV18" s="228"/>
      <c r="JTW18" s="228"/>
      <c r="JTX18" s="228"/>
      <c r="JTY18" s="228"/>
      <c r="JTZ18" s="228"/>
      <c r="JUA18" s="226"/>
      <c r="JUB18" s="226"/>
      <c r="JUC18" s="224"/>
      <c r="JUD18" s="225"/>
      <c r="JUE18" s="226"/>
      <c r="JUF18" s="227"/>
      <c r="JUG18" s="228"/>
      <c r="JUH18" s="228"/>
      <c r="JUI18" s="228"/>
      <c r="JUJ18" s="228"/>
      <c r="JUK18" s="228"/>
      <c r="JUL18" s="228"/>
      <c r="JUM18" s="226"/>
      <c r="JUN18" s="226"/>
      <c r="JUO18" s="224"/>
      <c r="JUP18" s="225"/>
      <c r="JUQ18" s="226"/>
      <c r="JUR18" s="227"/>
      <c r="JUS18" s="228"/>
      <c r="JUT18" s="228"/>
      <c r="JUU18" s="228"/>
      <c r="JUV18" s="228"/>
      <c r="JUW18" s="228"/>
      <c r="JUX18" s="228"/>
      <c r="JUY18" s="226"/>
      <c r="JUZ18" s="226"/>
      <c r="JVA18" s="224"/>
      <c r="JVB18" s="225"/>
      <c r="JVC18" s="226"/>
      <c r="JVD18" s="227"/>
      <c r="JVE18" s="228"/>
      <c r="JVF18" s="228"/>
      <c r="JVG18" s="228"/>
      <c r="JVH18" s="228"/>
      <c r="JVI18" s="228"/>
      <c r="JVJ18" s="228"/>
      <c r="JVK18" s="226"/>
      <c r="JVL18" s="226"/>
      <c r="JVM18" s="224"/>
      <c r="JVN18" s="225"/>
      <c r="JVO18" s="226"/>
      <c r="JVP18" s="227"/>
      <c r="JVQ18" s="228"/>
      <c r="JVR18" s="228"/>
      <c r="JVS18" s="228"/>
      <c r="JVT18" s="228"/>
      <c r="JVU18" s="228"/>
      <c r="JVV18" s="228"/>
      <c r="JVW18" s="226"/>
      <c r="JVX18" s="226"/>
      <c r="JVY18" s="224"/>
      <c r="JVZ18" s="225"/>
      <c r="JWA18" s="226"/>
      <c r="JWB18" s="227"/>
      <c r="JWC18" s="228"/>
      <c r="JWD18" s="228"/>
      <c r="JWE18" s="228"/>
      <c r="JWF18" s="228"/>
      <c r="JWG18" s="228"/>
      <c r="JWH18" s="228"/>
      <c r="JWI18" s="226"/>
      <c r="JWJ18" s="226"/>
      <c r="JWK18" s="224"/>
      <c r="JWL18" s="225"/>
      <c r="JWM18" s="226"/>
      <c r="JWN18" s="227"/>
      <c r="JWO18" s="228"/>
      <c r="JWP18" s="228"/>
      <c r="JWQ18" s="228"/>
      <c r="JWR18" s="228"/>
      <c r="JWS18" s="228"/>
      <c r="JWT18" s="228"/>
      <c r="JWU18" s="226"/>
      <c r="JWV18" s="226"/>
      <c r="JWW18" s="224"/>
      <c r="JWX18" s="225"/>
      <c r="JWY18" s="226"/>
      <c r="JWZ18" s="227"/>
      <c r="JXA18" s="228"/>
      <c r="JXB18" s="228"/>
      <c r="JXC18" s="228"/>
      <c r="JXD18" s="228"/>
      <c r="JXE18" s="228"/>
      <c r="JXF18" s="228"/>
      <c r="JXG18" s="226"/>
      <c r="JXH18" s="226"/>
      <c r="JXI18" s="224"/>
      <c r="JXJ18" s="225"/>
      <c r="JXK18" s="226"/>
      <c r="JXL18" s="227"/>
      <c r="JXM18" s="228"/>
      <c r="JXN18" s="228"/>
      <c r="JXO18" s="228"/>
      <c r="JXP18" s="228"/>
      <c r="JXQ18" s="228"/>
      <c r="JXR18" s="228"/>
      <c r="JXS18" s="226"/>
      <c r="JXT18" s="226"/>
      <c r="JXU18" s="224"/>
      <c r="JXV18" s="225"/>
      <c r="JXW18" s="226"/>
      <c r="JXX18" s="227"/>
      <c r="JXY18" s="228"/>
      <c r="JXZ18" s="228"/>
      <c r="JYA18" s="228"/>
      <c r="JYB18" s="228"/>
      <c r="JYC18" s="228"/>
      <c r="JYD18" s="228"/>
      <c r="JYE18" s="226"/>
      <c r="JYF18" s="226"/>
      <c r="JYG18" s="224"/>
      <c r="JYH18" s="225"/>
      <c r="JYI18" s="226"/>
      <c r="JYJ18" s="227"/>
      <c r="JYK18" s="228"/>
      <c r="JYL18" s="228"/>
      <c r="JYM18" s="228"/>
      <c r="JYN18" s="228"/>
      <c r="JYO18" s="228"/>
      <c r="JYP18" s="228"/>
      <c r="JYQ18" s="226"/>
      <c r="JYR18" s="226"/>
      <c r="JYS18" s="224"/>
      <c r="JYT18" s="225"/>
      <c r="JYU18" s="226"/>
      <c r="JYV18" s="227"/>
      <c r="JYW18" s="228"/>
      <c r="JYX18" s="228"/>
      <c r="JYY18" s="228"/>
      <c r="JYZ18" s="228"/>
      <c r="JZA18" s="228"/>
      <c r="JZB18" s="228"/>
      <c r="JZC18" s="226"/>
      <c r="JZD18" s="226"/>
      <c r="JZE18" s="224"/>
      <c r="JZF18" s="225"/>
      <c r="JZG18" s="226"/>
      <c r="JZH18" s="227"/>
      <c r="JZI18" s="228"/>
      <c r="JZJ18" s="228"/>
      <c r="JZK18" s="228"/>
      <c r="JZL18" s="228"/>
      <c r="JZM18" s="228"/>
      <c r="JZN18" s="228"/>
      <c r="JZO18" s="226"/>
      <c r="JZP18" s="226"/>
      <c r="JZQ18" s="224"/>
      <c r="JZR18" s="225"/>
      <c r="JZS18" s="226"/>
      <c r="JZT18" s="227"/>
      <c r="JZU18" s="228"/>
      <c r="JZV18" s="228"/>
      <c r="JZW18" s="228"/>
      <c r="JZX18" s="228"/>
      <c r="JZY18" s="228"/>
      <c r="JZZ18" s="228"/>
      <c r="KAA18" s="226"/>
      <c r="KAB18" s="226"/>
      <c r="KAC18" s="224"/>
      <c r="KAD18" s="225"/>
      <c r="KAE18" s="226"/>
      <c r="KAF18" s="227"/>
      <c r="KAG18" s="228"/>
      <c r="KAH18" s="228"/>
      <c r="KAI18" s="228"/>
      <c r="KAJ18" s="228"/>
      <c r="KAK18" s="228"/>
      <c r="KAL18" s="228"/>
      <c r="KAM18" s="226"/>
      <c r="KAN18" s="226"/>
      <c r="KAO18" s="224"/>
      <c r="KAP18" s="225"/>
      <c r="KAQ18" s="226"/>
      <c r="KAR18" s="227"/>
      <c r="KAS18" s="228"/>
      <c r="KAT18" s="228"/>
      <c r="KAU18" s="228"/>
      <c r="KAV18" s="228"/>
      <c r="KAW18" s="228"/>
      <c r="KAX18" s="228"/>
      <c r="KAY18" s="226"/>
      <c r="KAZ18" s="226"/>
      <c r="KBA18" s="224"/>
      <c r="KBB18" s="225"/>
      <c r="KBC18" s="226"/>
      <c r="KBD18" s="227"/>
      <c r="KBE18" s="228"/>
      <c r="KBF18" s="228"/>
      <c r="KBG18" s="228"/>
      <c r="KBH18" s="228"/>
      <c r="KBI18" s="228"/>
      <c r="KBJ18" s="228"/>
      <c r="KBK18" s="226"/>
      <c r="KBL18" s="226"/>
      <c r="KBM18" s="224"/>
      <c r="KBN18" s="225"/>
      <c r="KBO18" s="226"/>
      <c r="KBP18" s="227"/>
      <c r="KBQ18" s="228"/>
      <c r="KBR18" s="228"/>
      <c r="KBS18" s="228"/>
      <c r="KBT18" s="228"/>
      <c r="KBU18" s="228"/>
      <c r="KBV18" s="228"/>
      <c r="KBW18" s="226"/>
      <c r="KBX18" s="226"/>
      <c r="KBY18" s="224"/>
      <c r="KBZ18" s="225"/>
      <c r="KCA18" s="226"/>
      <c r="KCB18" s="227"/>
      <c r="KCC18" s="228"/>
      <c r="KCD18" s="228"/>
      <c r="KCE18" s="228"/>
      <c r="KCF18" s="228"/>
      <c r="KCG18" s="228"/>
      <c r="KCH18" s="228"/>
      <c r="KCI18" s="226"/>
      <c r="KCJ18" s="226"/>
      <c r="KCK18" s="224"/>
      <c r="KCL18" s="225"/>
      <c r="KCM18" s="226"/>
      <c r="KCN18" s="227"/>
      <c r="KCO18" s="228"/>
      <c r="KCP18" s="228"/>
      <c r="KCQ18" s="228"/>
      <c r="KCR18" s="228"/>
      <c r="KCS18" s="228"/>
      <c r="KCT18" s="228"/>
      <c r="KCU18" s="226"/>
      <c r="KCV18" s="226"/>
      <c r="KCW18" s="224"/>
      <c r="KCX18" s="225"/>
      <c r="KCY18" s="226"/>
      <c r="KCZ18" s="227"/>
      <c r="KDA18" s="228"/>
      <c r="KDB18" s="228"/>
      <c r="KDC18" s="228"/>
      <c r="KDD18" s="228"/>
      <c r="KDE18" s="228"/>
      <c r="KDF18" s="228"/>
      <c r="KDG18" s="226"/>
      <c r="KDH18" s="226"/>
      <c r="KDI18" s="224"/>
      <c r="KDJ18" s="225"/>
      <c r="KDK18" s="226"/>
      <c r="KDL18" s="227"/>
      <c r="KDM18" s="228"/>
      <c r="KDN18" s="228"/>
      <c r="KDO18" s="228"/>
      <c r="KDP18" s="228"/>
      <c r="KDQ18" s="228"/>
      <c r="KDR18" s="228"/>
      <c r="KDS18" s="226"/>
      <c r="KDT18" s="226"/>
      <c r="KDU18" s="224"/>
      <c r="KDV18" s="225"/>
      <c r="KDW18" s="226"/>
      <c r="KDX18" s="227"/>
      <c r="KDY18" s="228"/>
      <c r="KDZ18" s="228"/>
      <c r="KEA18" s="228"/>
      <c r="KEB18" s="228"/>
      <c r="KEC18" s="228"/>
      <c r="KED18" s="228"/>
      <c r="KEE18" s="226"/>
      <c r="KEF18" s="226"/>
      <c r="KEG18" s="224"/>
      <c r="KEH18" s="225"/>
      <c r="KEI18" s="226"/>
      <c r="KEJ18" s="227"/>
      <c r="KEK18" s="228"/>
      <c r="KEL18" s="228"/>
      <c r="KEM18" s="228"/>
      <c r="KEN18" s="228"/>
      <c r="KEO18" s="228"/>
      <c r="KEP18" s="228"/>
      <c r="KEQ18" s="226"/>
      <c r="KER18" s="226"/>
      <c r="KES18" s="224"/>
      <c r="KET18" s="225"/>
      <c r="KEU18" s="226"/>
      <c r="KEV18" s="227"/>
      <c r="KEW18" s="228"/>
      <c r="KEX18" s="228"/>
      <c r="KEY18" s="228"/>
      <c r="KEZ18" s="228"/>
      <c r="KFA18" s="228"/>
      <c r="KFB18" s="228"/>
      <c r="KFC18" s="226"/>
      <c r="KFD18" s="226"/>
      <c r="KFE18" s="224"/>
      <c r="KFF18" s="225"/>
      <c r="KFG18" s="226"/>
      <c r="KFH18" s="227"/>
      <c r="KFI18" s="228"/>
      <c r="KFJ18" s="228"/>
      <c r="KFK18" s="228"/>
      <c r="KFL18" s="228"/>
      <c r="KFM18" s="228"/>
      <c r="KFN18" s="228"/>
      <c r="KFO18" s="226"/>
      <c r="KFP18" s="226"/>
      <c r="KFQ18" s="224"/>
      <c r="KFR18" s="225"/>
      <c r="KFS18" s="226"/>
      <c r="KFT18" s="227"/>
      <c r="KFU18" s="228"/>
      <c r="KFV18" s="228"/>
      <c r="KFW18" s="228"/>
      <c r="KFX18" s="228"/>
      <c r="KFY18" s="228"/>
      <c r="KFZ18" s="228"/>
      <c r="KGA18" s="226"/>
      <c r="KGB18" s="226"/>
      <c r="KGC18" s="224"/>
      <c r="KGD18" s="225"/>
      <c r="KGE18" s="226"/>
      <c r="KGF18" s="227"/>
      <c r="KGG18" s="228"/>
      <c r="KGH18" s="228"/>
      <c r="KGI18" s="228"/>
      <c r="KGJ18" s="228"/>
      <c r="KGK18" s="228"/>
      <c r="KGL18" s="228"/>
      <c r="KGM18" s="226"/>
      <c r="KGN18" s="226"/>
      <c r="KGO18" s="224"/>
      <c r="KGP18" s="225"/>
      <c r="KGQ18" s="226"/>
      <c r="KGR18" s="227"/>
      <c r="KGS18" s="228"/>
      <c r="KGT18" s="228"/>
      <c r="KGU18" s="228"/>
      <c r="KGV18" s="228"/>
      <c r="KGW18" s="228"/>
      <c r="KGX18" s="228"/>
      <c r="KGY18" s="226"/>
      <c r="KGZ18" s="226"/>
      <c r="KHA18" s="224"/>
      <c r="KHB18" s="225"/>
      <c r="KHC18" s="226"/>
      <c r="KHD18" s="227"/>
      <c r="KHE18" s="228"/>
      <c r="KHF18" s="228"/>
      <c r="KHG18" s="228"/>
      <c r="KHH18" s="228"/>
      <c r="KHI18" s="228"/>
      <c r="KHJ18" s="228"/>
      <c r="KHK18" s="226"/>
      <c r="KHL18" s="226"/>
      <c r="KHM18" s="224"/>
      <c r="KHN18" s="225"/>
      <c r="KHO18" s="226"/>
      <c r="KHP18" s="227"/>
      <c r="KHQ18" s="228"/>
      <c r="KHR18" s="228"/>
      <c r="KHS18" s="228"/>
      <c r="KHT18" s="228"/>
      <c r="KHU18" s="228"/>
      <c r="KHV18" s="228"/>
      <c r="KHW18" s="226"/>
      <c r="KHX18" s="226"/>
      <c r="KHY18" s="224"/>
      <c r="KHZ18" s="225"/>
      <c r="KIA18" s="226"/>
      <c r="KIB18" s="227"/>
      <c r="KIC18" s="228"/>
      <c r="KID18" s="228"/>
      <c r="KIE18" s="228"/>
      <c r="KIF18" s="228"/>
      <c r="KIG18" s="228"/>
      <c r="KIH18" s="228"/>
      <c r="KII18" s="226"/>
      <c r="KIJ18" s="226"/>
      <c r="KIK18" s="224"/>
      <c r="KIL18" s="225"/>
      <c r="KIM18" s="226"/>
      <c r="KIN18" s="227"/>
      <c r="KIO18" s="228"/>
      <c r="KIP18" s="228"/>
      <c r="KIQ18" s="228"/>
      <c r="KIR18" s="228"/>
      <c r="KIS18" s="228"/>
      <c r="KIT18" s="228"/>
      <c r="KIU18" s="226"/>
      <c r="KIV18" s="226"/>
      <c r="KIW18" s="224"/>
      <c r="KIX18" s="225"/>
      <c r="KIY18" s="226"/>
      <c r="KIZ18" s="227"/>
      <c r="KJA18" s="228"/>
      <c r="KJB18" s="228"/>
      <c r="KJC18" s="228"/>
      <c r="KJD18" s="228"/>
      <c r="KJE18" s="228"/>
      <c r="KJF18" s="228"/>
      <c r="KJG18" s="226"/>
      <c r="KJH18" s="226"/>
      <c r="KJI18" s="224"/>
      <c r="KJJ18" s="225"/>
      <c r="KJK18" s="226"/>
      <c r="KJL18" s="227"/>
      <c r="KJM18" s="228"/>
      <c r="KJN18" s="228"/>
      <c r="KJO18" s="228"/>
      <c r="KJP18" s="228"/>
      <c r="KJQ18" s="228"/>
      <c r="KJR18" s="228"/>
      <c r="KJS18" s="226"/>
      <c r="KJT18" s="226"/>
      <c r="KJU18" s="224"/>
      <c r="KJV18" s="225"/>
      <c r="KJW18" s="226"/>
      <c r="KJX18" s="227"/>
      <c r="KJY18" s="228"/>
      <c r="KJZ18" s="228"/>
      <c r="KKA18" s="228"/>
      <c r="KKB18" s="228"/>
      <c r="KKC18" s="228"/>
      <c r="KKD18" s="228"/>
      <c r="KKE18" s="226"/>
      <c r="KKF18" s="226"/>
      <c r="KKG18" s="224"/>
      <c r="KKH18" s="225"/>
      <c r="KKI18" s="226"/>
      <c r="KKJ18" s="227"/>
      <c r="KKK18" s="228"/>
      <c r="KKL18" s="228"/>
      <c r="KKM18" s="228"/>
      <c r="KKN18" s="228"/>
      <c r="KKO18" s="228"/>
      <c r="KKP18" s="228"/>
      <c r="KKQ18" s="226"/>
      <c r="KKR18" s="226"/>
      <c r="KKS18" s="224"/>
      <c r="KKT18" s="225"/>
      <c r="KKU18" s="226"/>
      <c r="KKV18" s="227"/>
      <c r="KKW18" s="228"/>
      <c r="KKX18" s="228"/>
      <c r="KKY18" s="228"/>
      <c r="KKZ18" s="228"/>
      <c r="KLA18" s="228"/>
      <c r="KLB18" s="228"/>
      <c r="KLC18" s="226"/>
      <c r="KLD18" s="226"/>
      <c r="KLE18" s="224"/>
      <c r="KLF18" s="225"/>
      <c r="KLG18" s="226"/>
      <c r="KLH18" s="227"/>
      <c r="KLI18" s="228"/>
      <c r="KLJ18" s="228"/>
      <c r="KLK18" s="228"/>
      <c r="KLL18" s="228"/>
      <c r="KLM18" s="228"/>
      <c r="KLN18" s="228"/>
      <c r="KLO18" s="226"/>
      <c r="KLP18" s="226"/>
      <c r="KLQ18" s="224"/>
      <c r="KLR18" s="225"/>
      <c r="KLS18" s="226"/>
      <c r="KLT18" s="227"/>
      <c r="KLU18" s="228"/>
      <c r="KLV18" s="228"/>
      <c r="KLW18" s="228"/>
      <c r="KLX18" s="228"/>
      <c r="KLY18" s="228"/>
      <c r="KLZ18" s="228"/>
      <c r="KMA18" s="226"/>
      <c r="KMB18" s="226"/>
      <c r="KMC18" s="224"/>
      <c r="KMD18" s="225"/>
      <c r="KME18" s="226"/>
      <c r="KMF18" s="227"/>
      <c r="KMG18" s="228"/>
      <c r="KMH18" s="228"/>
      <c r="KMI18" s="228"/>
      <c r="KMJ18" s="228"/>
      <c r="KMK18" s="228"/>
      <c r="KML18" s="228"/>
      <c r="KMM18" s="226"/>
      <c r="KMN18" s="226"/>
      <c r="KMO18" s="224"/>
      <c r="KMP18" s="225"/>
      <c r="KMQ18" s="226"/>
      <c r="KMR18" s="227"/>
      <c r="KMS18" s="228"/>
      <c r="KMT18" s="228"/>
      <c r="KMU18" s="228"/>
      <c r="KMV18" s="228"/>
      <c r="KMW18" s="228"/>
      <c r="KMX18" s="228"/>
      <c r="KMY18" s="226"/>
      <c r="KMZ18" s="226"/>
      <c r="KNA18" s="224"/>
      <c r="KNB18" s="225"/>
      <c r="KNC18" s="226"/>
      <c r="KND18" s="227"/>
      <c r="KNE18" s="228"/>
      <c r="KNF18" s="228"/>
      <c r="KNG18" s="228"/>
      <c r="KNH18" s="228"/>
      <c r="KNI18" s="228"/>
      <c r="KNJ18" s="228"/>
      <c r="KNK18" s="226"/>
      <c r="KNL18" s="226"/>
      <c r="KNM18" s="224"/>
      <c r="KNN18" s="225"/>
      <c r="KNO18" s="226"/>
      <c r="KNP18" s="227"/>
      <c r="KNQ18" s="228"/>
      <c r="KNR18" s="228"/>
      <c r="KNS18" s="228"/>
      <c r="KNT18" s="228"/>
      <c r="KNU18" s="228"/>
      <c r="KNV18" s="228"/>
      <c r="KNW18" s="226"/>
      <c r="KNX18" s="226"/>
      <c r="KNY18" s="224"/>
      <c r="KNZ18" s="225"/>
      <c r="KOA18" s="226"/>
      <c r="KOB18" s="227"/>
      <c r="KOC18" s="228"/>
      <c r="KOD18" s="228"/>
      <c r="KOE18" s="228"/>
      <c r="KOF18" s="228"/>
      <c r="KOG18" s="228"/>
      <c r="KOH18" s="228"/>
      <c r="KOI18" s="226"/>
      <c r="KOJ18" s="226"/>
      <c r="KOK18" s="224"/>
      <c r="KOL18" s="225"/>
      <c r="KOM18" s="226"/>
      <c r="KON18" s="227"/>
      <c r="KOO18" s="228"/>
      <c r="KOP18" s="228"/>
      <c r="KOQ18" s="228"/>
      <c r="KOR18" s="228"/>
      <c r="KOS18" s="228"/>
      <c r="KOT18" s="228"/>
      <c r="KOU18" s="226"/>
      <c r="KOV18" s="226"/>
      <c r="KOW18" s="224"/>
      <c r="KOX18" s="225"/>
      <c r="KOY18" s="226"/>
      <c r="KOZ18" s="227"/>
      <c r="KPA18" s="228"/>
      <c r="KPB18" s="228"/>
      <c r="KPC18" s="228"/>
      <c r="KPD18" s="228"/>
      <c r="KPE18" s="228"/>
      <c r="KPF18" s="228"/>
      <c r="KPG18" s="226"/>
      <c r="KPH18" s="226"/>
      <c r="KPI18" s="224"/>
      <c r="KPJ18" s="225"/>
      <c r="KPK18" s="226"/>
      <c r="KPL18" s="227"/>
      <c r="KPM18" s="228"/>
      <c r="KPN18" s="228"/>
      <c r="KPO18" s="228"/>
      <c r="KPP18" s="228"/>
      <c r="KPQ18" s="228"/>
      <c r="KPR18" s="228"/>
      <c r="KPS18" s="226"/>
      <c r="KPT18" s="226"/>
      <c r="KPU18" s="224"/>
      <c r="KPV18" s="225"/>
      <c r="KPW18" s="226"/>
      <c r="KPX18" s="227"/>
      <c r="KPY18" s="228"/>
      <c r="KPZ18" s="228"/>
      <c r="KQA18" s="228"/>
      <c r="KQB18" s="228"/>
      <c r="KQC18" s="228"/>
      <c r="KQD18" s="228"/>
      <c r="KQE18" s="226"/>
      <c r="KQF18" s="226"/>
      <c r="KQG18" s="224"/>
      <c r="KQH18" s="225"/>
      <c r="KQI18" s="226"/>
      <c r="KQJ18" s="227"/>
      <c r="KQK18" s="228"/>
      <c r="KQL18" s="228"/>
      <c r="KQM18" s="228"/>
      <c r="KQN18" s="228"/>
      <c r="KQO18" s="228"/>
      <c r="KQP18" s="228"/>
      <c r="KQQ18" s="226"/>
      <c r="KQR18" s="226"/>
      <c r="KQS18" s="224"/>
      <c r="KQT18" s="225"/>
      <c r="KQU18" s="226"/>
      <c r="KQV18" s="227"/>
      <c r="KQW18" s="228"/>
      <c r="KQX18" s="228"/>
      <c r="KQY18" s="228"/>
      <c r="KQZ18" s="228"/>
      <c r="KRA18" s="228"/>
      <c r="KRB18" s="228"/>
      <c r="KRC18" s="226"/>
      <c r="KRD18" s="226"/>
      <c r="KRE18" s="224"/>
      <c r="KRF18" s="225"/>
      <c r="KRG18" s="226"/>
      <c r="KRH18" s="227"/>
      <c r="KRI18" s="228"/>
      <c r="KRJ18" s="228"/>
      <c r="KRK18" s="228"/>
      <c r="KRL18" s="228"/>
      <c r="KRM18" s="228"/>
      <c r="KRN18" s="228"/>
      <c r="KRO18" s="226"/>
      <c r="KRP18" s="226"/>
      <c r="KRQ18" s="224"/>
      <c r="KRR18" s="225"/>
      <c r="KRS18" s="226"/>
      <c r="KRT18" s="227"/>
      <c r="KRU18" s="228"/>
      <c r="KRV18" s="228"/>
      <c r="KRW18" s="228"/>
      <c r="KRX18" s="228"/>
      <c r="KRY18" s="228"/>
      <c r="KRZ18" s="228"/>
      <c r="KSA18" s="226"/>
      <c r="KSB18" s="226"/>
      <c r="KSC18" s="224"/>
      <c r="KSD18" s="225"/>
      <c r="KSE18" s="226"/>
      <c r="KSF18" s="227"/>
      <c r="KSG18" s="228"/>
      <c r="KSH18" s="228"/>
      <c r="KSI18" s="228"/>
      <c r="KSJ18" s="228"/>
      <c r="KSK18" s="228"/>
      <c r="KSL18" s="228"/>
      <c r="KSM18" s="226"/>
      <c r="KSN18" s="226"/>
      <c r="KSO18" s="224"/>
      <c r="KSP18" s="225"/>
      <c r="KSQ18" s="226"/>
      <c r="KSR18" s="227"/>
      <c r="KSS18" s="228"/>
      <c r="KST18" s="228"/>
      <c r="KSU18" s="228"/>
      <c r="KSV18" s="228"/>
      <c r="KSW18" s="228"/>
      <c r="KSX18" s="228"/>
      <c r="KSY18" s="226"/>
      <c r="KSZ18" s="226"/>
      <c r="KTA18" s="224"/>
      <c r="KTB18" s="225"/>
      <c r="KTC18" s="226"/>
      <c r="KTD18" s="227"/>
      <c r="KTE18" s="228"/>
      <c r="KTF18" s="228"/>
      <c r="KTG18" s="228"/>
      <c r="KTH18" s="228"/>
      <c r="KTI18" s="228"/>
      <c r="KTJ18" s="228"/>
      <c r="KTK18" s="226"/>
      <c r="KTL18" s="226"/>
      <c r="KTM18" s="224"/>
      <c r="KTN18" s="225"/>
      <c r="KTO18" s="226"/>
      <c r="KTP18" s="227"/>
      <c r="KTQ18" s="228"/>
      <c r="KTR18" s="228"/>
      <c r="KTS18" s="228"/>
      <c r="KTT18" s="228"/>
      <c r="KTU18" s="228"/>
      <c r="KTV18" s="228"/>
      <c r="KTW18" s="226"/>
      <c r="KTX18" s="226"/>
      <c r="KTY18" s="224"/>
      <c r="KTZ18" s="225"/>
      <c r="KUA18" s="226"/>
      <c r="KUB18" s="227"/>
      <c r="KUC18" s="228"/>
      <c r="KUD18" s="228"/>
      <c r="KUE18" s="228"/>
      <c r="KUF18" s="228"/>
      <c r="KUG18" s="228"/>
      <c r="KUH18" s="228"/>
      <c r="KUI18" s="226"/>
      <c r="KUJ18" s="226"/>
      <c r="KUK18" s="224"/>
      <c r="KUL18" s="225"/>
      <c r="KUM18" s="226"/>
      <c r="KUN18" s="227"/>
      <c r="KUO18" s="228"/>
      <c r="KUP18" s="228"/>
      <c r="KUQ18" s="228"/>
      <c r="KUR18" s="228"/>
      <c r="KUS18" s="228"/>
      <c r="KUT18" s="228"/>
      <c r="KUU18" s="226"/>
      <c r="KUV18" s="226"/>
      <c r="KUW18" s="224"/>
      <c r="KUX18" s="225"/>
      <c r="KUY18" s="226"/>
      <c r="KUZ18" s="227"/>
      <c r="KVA18" s="228"/>
      <c r="KVB18" s="228"/>
      <c r="KVC18" s="228"/>
      <c r="KVD18" s="228"/>
      <c r="KVE18" s="228"/>
      <c r="KVF18" s="228"/>
      <c r="KVG18" s="226"/>
      <c r="KVH18" s="226"/>
      <c r="KVI18" s="224"/>
      <c r="KVJ18" s="225"/>
      <c r="KVK18" s="226"/>
      <c r="KVL18" s="227"/>
      <c r="KVM18" s="228"/>
      <c r="KVN18" s="228"/>
      <c r="KVO18" s="228"/>
      <c r="KVP18" s="228"/>
      <c r="KVQ18" s="228"/>
      <c r="KVR18" s="228"/>
      <c r="KVS18" s="226"/>
      <c r="KVT18" s="226"/>
      <c r="KVU18" s="224"/>
      <c r="KVV18" s="225"/>
      <c r="KVW18" s="226"/>
      <c r="KVX18" s="227"/>
      <c r="KVY18" s="228"/>
      <c r="KVZ18" s="228"/>
      <c r="KWA18" s="228"/>
      <c r="KWB18" s="228"/>
      <c r="KWC18" s="228"/>
      <c r="KWD18" s="228"/>
      <c r="KWE18" s="226"/>
      <c r="KWF18" s="226"/>
      <c r="KWG18" s="224"/>
      <c r="KWH18" s="225"/>
      <c r="KWI18" s="226"/>
      <c r="KWJ18" s="227"/>
      <c r="KWK18" s="228"/>
      <c r="KWL18" s="228"/>
      <c r="KWM18" s="228"/>
      <c r="KWN18" s="228"/>
      <c r="KWO18" s="228"/>
      <c r="KWP18" s="228"/>
      <c r="KWQ18" s="226"/>
      <c r="KWR18" s="226"/>
      <c r="KWS18" s="224"/>
      <c r="KWT18" s="225"/>
      <c r="KWU18" s="226"/>
      <c r="KWV18" s="227"/>
      <c r="KWW18" s="228"/>
      <c r="KWX18" s="228"/>
      <c r="KWY18" s="228"/>
      <c r="KWZ18" s="228"/>
      <c r="KXA18" s="228"/>
      <c r="KXB18" s="228"/>
      <c r="KXC18" s="226"/>
      <c r="KXD18" s="226"/>
      <c r="KXE18" s="224"/>
      <c r="KXF18" s="225"/>
      <c r="KXG18" s="226"/>
      <c r="KXH18" s="227"/>
      <c r="KXI18" s="228"/>
      <c r="KXJ18" s="228"/>
      <c r="KXK18" s="228"/>
      <c r="KXL18" s="228"/>
      <c r="KXM18" s="228"/>
      <c r="KXN18" s="228"/>
      <c r="KXO18" s="226"/>
      <c r="KXP18" s="226"/>
      <c r="KXQ18" s="224"/>
      <c r="KXR18" s="225"/>
      <c r="KXS18" s="226"/>
      <c r="KXT18" s="227"/>
      <c r="KXU18" s="228"/>
      <c r="KXV18" s="228"/>
      <c r="KXW18" s="228"/>
      <c r="KXX18" s="228"/>
      <c r="KXY18" s="228"/>
      <c r="KXZ18" s="228"/>
      <c r="KYA18" s="226"/>
      <c r="KYB18" s="226"/>
      <c r="KYC18" s="224"/>
      <c r="KYD18" s="225"/>
      <c r="KYE18" s="226"/>
      <c r="KYF18" s="227"/>
      <c r="KYG18" s="228"/>
      <c r="KYH18" s="228"/>
      <c r="KYI18" s="228"/>
      <c r="KYJ18" s="228"/>
      <c r="KYK18" s="228"/>
      <c r="KYL18" s="228"/>
      <c r="KYM18" s="226"/>
      <c r="KYN18" s="226"/>
      <c r="KYO18" s="224"/>
      <c r="KYP18" s="225"/>
      <c r="KYQ18" s="226"/>
      <c r="KYR18" s="227"/>
      <c r="KYS18" s="228"/>
      <c r="KYT18" s="228"/>
      <c r="KYU18" s="228"/>
      <c r="KYV18" s="228"/>
      <c r="KYW18" s="228"/>
      <c r="KYX18" s="228"/>
      <c r="KYY18" s="226"/>
      <c r="KYZ18" s="226"/>
      <c r="KZA18" s="224"/>
      <c r="KZB18" s="225"/>
      <c r="KZC18" s="226"/>
      <c r="KZD18" s="227"/>
      <c r="KZE18" s="228"/>
      <c r="KZF18" s="228"/>
      <c r="KZG18" s="228"/>
      <c r="KZH18" s="228"/>
      <c r="KZI18" s="228"/>
      <c r="KZJ18" s="228"/>
      <c r="KZK18" s="226"/>
      <c r="KZL18" s="226"/>
      <c r="KZM18" s="224"/>
      <c r="KZN18" s="225"/>
      <c r="KZO18" s="226"/>
      <c r="KZP18" s="227"/>
      <c r="KZQ18" s="228"/>
      <c r="KZR18" s="228"/>
      <c r="KZS18" s="228"/>
      <c r="KZT18" s="228"/>
      <c r="KZU18" s="228"/>
      <c r="KZV18" s="228"/>
      <c r="KZW18" s="226"/>
      <c r="KZX18" s="226"/>
      <c r="KZY18" s="224"/>
      <c r="KZZ18" s="225"/>
      <c r="LAA18" s="226"/>
      <c r="LAB18" s="227"/>
      <c r="LAC18" s="228"/>
      <c r="LAD18" s="228"/>
      <c r="LAE18" s="228"/>
      <c r="LAF18" s="228"/>
      <c r="LAG18" s="228"/>
      <c r="LAH18" s="228"/>
      <c r="LAI18" s="226"/>
      <c r="LAJ18" s="226"/>
      <c r="LAK18" s="224"/>
      <c r="LAL18" s="225"/>
      <c r="LAM18" s="226"/>
      <c r="LAN18" s="227"/>
      <c r="LAO18" s="228"/>
      <c r="LAP18" s="228"/>
      <c r="LAQ18" s="228"/>
      <c r="LAR18" s="228"/>
      <c r="LAS18" s="228"/>
      <c r="LAT18" s="228"/>
      <c r="LAU18" s="226"/>
      <c r="LAV18" s="226"/>
      <c r="LAW18" s="224"/>
      <c r="LAX18" s="225"/>
      <c r="LAY18" s="226"/>
      <c r="LAZ18" s="227"/>
      <c r="LBA18" s="228"/>
      <c r="LBB18" s="228"/>
      <c r="LBC18" s="228"/>
      <c r="LBD18" s="228"/>
      <c r="LBE18" s="228"/>
      <c r="LBF18" s="228"/>
      <c r="LBG18" s="226"/>
      <c r="LBH18" s="226"/>
      <c r="LBI18" s="224"/>
      <c r="LBJ18" s="225"/>
      <c r="LBK18" s="226"/>
      <c r="LBL18" s="227"/>
      <c r="LBM18" s="228"/>
      <c r="LBN18" s="228"/>
      <c r="LBO18" s="228"/>
      <c r="LBP18" s="228"/>
      <c r="LBQ18" s="228"/>
      <c r="LBR18" s="228"/>
      <c r="LBS18" s="226"/>
      <c r="LBT18" s="226"/>
      <c r="LBU18" s="224"/>
      <c r="LBV18" s="225"/>
      <c r="LBW18" s="226"/>
      <c r="LBX18" s="227"/>
      <c r="LBY18" s="228"/>
      <c r="LBZ18" s="228"/>
      <c r="LCA18" s="228"/>
      <c r="LCB18" s="228"/>
      <c r="LCC18" s="228"/>
      <c r="LCD18" s="228"/>
      <c r="LCE18" s="226"/>
      <c r="LCF18" s="226"/>
      <c r="LCG18" s="224"/>
      <c r="LCH18" s="225"/>
      <c r="LCI18" s="226"/>
      <c r="LCJ18" s="227"/>
      <c r="LCK18" s="228"/>
      <c r="LCL18" s="228"/>
      <c r="LCM18" s="228"/>
      <c r="LCN18" s="228"/>
      <c r="LCO18" s="228"/>
      <c r="LCP18" s="228"/>
      <c r="LCQ18" s="226"/>
      <c r="LCR18" s="226"/>
      <c r="LCS18" s="224"/>
      <c r="LCT18" s="225"/>
      <c r="LCU18" s="226"/>
      <c r="LCV18" s="227"/>
      <c r="LCW18" s="228"/>
      <c r="LCX18" s="228"/>
      <c r="LCY18" s="228"/>
      <c r="LCZ18" s="228"/>
      <c r="LDA18" s="228"/>
      <c r="LDB18" s="228"/>
      <c r="LDC18" s="226"/>
      <c r="LDD18" s="226"/>
      <c r="LDE18" s="224"/>
      <c r="LDF18" s="225"/>
      <c r="LDG18" s="226"/>
      <c r="LDH18" s="227"/>
      <c r="LDI18" s="228"/>
      <c r="LDJ18" s="228"/>
      <c r="LDK18" s="228"/>
      <c r="LDL18" s="228"/>
      <c r="LDM18" s="228"/>
      <c r="LDN18" s="228"/>
      <c r="LDO18" s="226"/>
      <c r="LDP18" s="226"/>
      <c r="LDQ18" s="224"/>
      <c r="LDR18" s="225"/>
      <c r="LDS18" s="226"/>
      <c r="LDT18" s="227"/>
      <c r="LDU18" s="228"/>
      <c r="LDV18" s="228"/>
      <c r="LDW18" s="228"/>
      <c r="LDX18" s="228"/>
      <c r="LDY18" s="228"/>
      <c r="LDZ18" s="228"/>
      <c r="LEA18" s="226"/>
      <c r="LEB18" s="226"/>
      <c r="LEC18" s="224"/>
      <c r="LED18" s="225"/>
      <c r="LEE18" s="226"/>
      <c r="LEF18" s="227"/>
      <c r="LEG18" s="228"/>
      <c r="LEH18" s="228"/>
      <c r="LEI18" s="228"/>
      <c r="LEJ18" s="228"/>
      <c r="LEK18" s="228"/>
      <c r="LEL18" s="228"/>
      <c r="LEM18" s="226"/>
      <c r="LEN18" s="226"/>
      <c r="LEO18" s="224"/>
      <c r="LEP18" s="225"/>
      <c r="LEQ18" s="226"/>
      <c r="LER18" s="227"/>
      <c r="LES18" s="228"/>
      <c r="LET18" s="228"/>
      <c r="LEU18" s="228"/>
      <c r="LEV18" s="228"/>
      <c r="LEW18" s="228"/>
      <c r="LEX18" s="228"/>
      <c r="LEY18" s="226"/>
      <c r="LEZ18" s="226"/>
      <c r="LFA18" s="224"/>
      <c r="LFB18" s="225"/>
      <c r="LFC18" s="226"/>
      <c r="LFD18" s="227"/>
      <c r="LFE18" s="228"/>
      <c r="LFF18" s="228"/>
      <c r="LFG18" s="228"/>
      <c r="LFH18" s="228"/>
      <c r="LFI18" s="228"/>
      <c r="LFJ18" s="228"/>
      <c r="LFK18" s="226"/>
      <c r="LFL18" s="226"/>
      <c r="LFM18" s="224"/>
      <c r="LFN18" s="225"/>
      <c r="LFO18" s="226"/>
      <c r="LFP18" s="227"/>
      <c r="LFQ18" s="228"/>
      <c r="LFR18" s="228"/>
      <c r="LFS18" s="228"/>
      <c r="LFT18" s="228"/>
      <c r="LFU18" s="228"/>
      <c r="LFV18" s="228"/>
      <c r="LFW18" s="226"/>
      <c r="LFX18" s="226"/>
      <c r="LFY18" s="224"/>
      <c r="LFZ18" s="225"/>
      <c r="LGA18" s="226"/>
      <c r="LGB18" s="227"/>
      <c r="LGC18" s="228"/>
      <c r="LGD18" s="228"/>
      <c r="LGE18" s="228"/>
      <c r="LGF18" s="228"/>
      <c r="LGG18" s="228"/>
      <c r="LGH18" s="228"/>
      <c r="LGI18" s="226"/>
      <c r="LGJ18" s="226"/>
      <c r="LGK18" s="224"/>
      <c r="LGL18" s="225"/>
      <c r="LGM18" s="226"/>
      <c r="LGN18" s="227"/>
      <c r="LGO18" s="228"/>
      <c r="LGP18" s="228"/>
      <c r="LGQ18" s="228"/>
      <c r="LGR18" s="228"/>
      <c r="LGS18" s="228"/>
      <c r="LGT18" s="228"/>
      <c r="LGU18" s="226"/>
      <c r="LGV18" s="226"/>
      <c r="LGW18" s="224"/>
      <c r="LGX18" s="225"/>
      <c r="LGY18" s="226"/>
      <c r="LGZ18" s="227"/>
      <c r="LHA18" s="228"/>
      <c r="LHB18" s="228"/>
      <c r="LHC18" s="228"/>
      <c r="LHD18" s="228"/>
      <c r="LHE18" s="228"/>
      <c r="LHF18" s="228"/>
      <c r="LHG18" s="226"/>
      <c r="LHH18" s="226"/>
      <c r="LHI18" s="224"/>
      <c r="LHJ18" s="225"/>
      <c r="LHK18" s="226"/>
      <c r="LHL18" s="227"/>
      <c r="LHM18" s="228"/>
      <c r="LHN18" s="228"/>
      <c r="LHO18" s="228"/>
      <c r="LHP18" s="228"/>
      <c r="LHQ18" s="228"/>
      <c r="LHR18" s="228"/>
      <c r="LHS18" s="226"/>
      <c r="LHT18" s="226"/>
      <c r="LHU18" s="224"/>
      <c r="LHV18" s="225"/>
      <c r="LHW18" s="226"/>
      <c r="LHX18" s="227"/>
      <c r="LHY18" s="228"/>
      <c r="LHZ18" s="228"/>
      <c r="LIA18" s="228"/>
      <c r="LIB18" s="228"/>
      <c r="LIC18" s="228"/>
      <c r="LID18" s="228"/>
      <c r="LIE18" s="226"/>
      <c r="LIF18" s="226"/>
      <c r="LIG18" s="224"/>
      <c r="LIH18" s="225"/>
      <c r="LII18" s="226"/>
      <c r="LIJ18" s="227"/>
      <c r="LIK18" s="228"/>
      <c r="LIL18" s="228"/>
      <c r="LIM18" s="228"/>
      <c r="LIN18" s="228"/>
      <c r="LIO18" s="228"/>
      <c r="LIP18" s="228"/>
      <c r="LIQ18" s="226"/>
      <c r="LIR18" s="226"/>
      <c r="LIS18" s="224"/>
      <c r="LIT18" s="225"/>
      <c r="LIU18" s="226"/>
      <c r="LIV18" s="227"/>
      <c r="LIW18" s="228"/>
      <c r="LIX18" s="228"/>
      <c r="LIY18" s="228"/>
      <c r="LIZ18" s="228"/>
      <c r="LJA18" s="228"/>
      <c r="LJB18" s="228"/>
      <c r="LJC18" s="226"/>
      <c r="LJD18" s="226"/>
      <c r="LJE18" s="224"/>
      <c r="LJF18" s="225"/>
      <c r="LJG18" s="226"/>
      <c r="LJH18" s="227"/>
      <c r="LJI18" s="228"/>
      <c r="LJJ18" s="228"/>
      <c r="LJK18" s="228"/>
      <c r="LJL18" s="228"/>
      <c r="LJM18" s="228"/>
      <c r="LJN18" s="228"/>
      <c r="LJO18" s="226"/>
      <c r="LJP18" s="226"/>
      <c r="LJQ18" s="224"/>
      <c r="LJR18" s="225"/>
      <c r="LJS18" s="226"/>
      <c r="LJT18" s="227"/>
      <c r="LJU18" s="228"/>
      <c r="LJV18" s="228"/>
      <c r="LJW18" s="228"/>
      <c r="LJX18" s="228"/>
      <c r="LJY18" s="228"/>
      <c r="LJZ18" s="228"/>
      <c r="LKA18" s="226"/>
      <c r="LKB18" s="226"/>
      <c r="LKC18" s="224"/>
      <c r="LKD18" s="225"/>
      <c r="LKE18" s="226"/>
      <c r="LKF18" s="227"/>
      <c r="LKG18" s="228"/>
      <c r="LKH18" s="228"/>
      <c r="LKI18" s="228"/>
      <c r="LKJ18" s="228"/>
      <c r="LKK18" s="228"/>
      <c r="LKL18" s="228"/>
      <c r="LKM18" s="226"/>
      <c r="LKN18" s="226"/>
      <c r="LKO18" s="224"/>
      <c r="LKP18" s="225"/>
      <c r="LKQ18" s="226"/>
      <c r="LKR18" s="227"/>
      <c r="LKS18" s="228"/>
      <c r="LKT18" s="228"/>
      <c r="LKU18" s="228"/>
      <c r="LKV18" s="228"/>
      <c r="LKW18" s="228"/>
      <c r="LKX18" s="228"/>
      <c r="LKY18" s="226"/>
      <c r="LKZ18" s="226"/>
      <c r="LLA18" s="224"/>
      <c r="LLB18" s="225"/>
      <c r="LLC18" s="226"/>
      <c r="LLD18" s="227"/>
      <c r="LLE18" s="228"/>
      <c r="LLF18" s="228"/>
      <c r="LLG18" s="228"/>
      <c r="LLH18" s="228"/>
      <c r="LLI18" s="228"/>
      <c r="LLJ18" s="228"/>
      <c r="LLK18" s="226"/>
      <c r="LLL18" s="226"/>
      <c r="LLM18" s="224"/>
      <c r="LLN18" s="225"/>
      <c r="LLO18" s="226"/>
      <c r="LLP18" s="227"/>
      <c r="LLQ18" s="228"/>
      <c r="LLR18" s="228"/>
      <c r="LLS18" s="228"/>
      <c r="LLT18" s="228"/>
      <c r="LLU18" s="228"/>
      <c r="LLV18" s="228"/>
      <c r="LLW18" s="226"/>
      <c r="LLX18" s="226"/>
      <c r="LLY18" s="224"/>
      <c r="LLZ18" s="225"/>
      <c r="LMA18" s="226"/>
      <c r="LMB18" s="227"/>
      <c r="LMC18" s="228"/>
      <c r="LMD18" s="228"/>
      <c r="LME18" s="228"/>
      <c r="LMF18" s="228"/>
      <c r="LMG18" s="228"/>
      <c r="LMH18" s="228"/>
      <c r="LMI18" s="226"/>
      <c r="LMJ18" s="226"/>
      <c r="LMK18" s="224"/>
      <c r="LML18" s="225"/>
      <c r="LMM18" s="226"/>
      <c r="LMN18" s="227"/>
      <c r="LMO18" s="228"/>
      <c r="LMP18" s="228"/>
      <c r="LMQ18" s="228"/>
      <c r="LMR18" s="228"/>
      <c r="LMS18" s="228"/>
      <c r="LMT18" s="228"/>
      <c r="LMU18" s="226"/>
      <c r="LMV18" s="226"/>
      <c r="LMW18" s="224"/>
      <c r="LMX18" s="225"/>
      <c r="LMY18" s="226"/>
      <c r="LMZ18" s="227"/>
      <c r="LNA18" s="228"/>
      <c r="LNB18" s="228"/>
      <c r="LNC18" s="228"/>
      <c r="LND18" s="228"/>
      <c r="LNE18" s="228"/>
      <c r="LNF18" s="228"/>
      <c r="LNG18" s="226"/>
      <c r="LNH18" s="226"/>
      <c r="LNI18" s="224"/>
      <c r="LNJ18" s="225"/>
      <c r="LNK18" s="226"/>
      <c r="LNL18" s="227"/>
      <c r="LNM18" s="228"/>
      <c r="LNN18" s="228"/>
      <c r="LNO18" s="228"/>
      <c r="LNP18" s="228"/>
      <c r="LNQ18" s="228"/>
      <c r="LNR18" s="228"/>
      <c r="LNS18" s="226"/>
      <c r="LNT18" s="226"/>
      <c r="LNU18" s="224"/>
      <c r="LNV18" s="225"/>
      <c r="LNW18" s="226"/>
      <c r="LNX18" s="227"/>
      <c r="LNY18" s="228"/>
      <c r="LNZ18" s="228"/>
      <c r="LOA18" s="228"/>
      <c r="LOB18" s="228"/>
      <c r="LOC18" s="228"/>
      <c r="LOD18" s="228"/>
      <c r="LOE18" s="226"/>
      <c r="LOF18" s="226"/>
      <c r="LOG18" s="224"/>
      <c r="LOH18" s="225"/>
      <c r="LOI18" s="226"/>
      <c r="LOJ18" s="227"/>
      <c r="LOK18" s="228"/>
      <c r="LOL18" s="228"/>
      <c r="LOM18" s="228"/>
      <c r="LON18" s="228"/>
      <c r="LOO18" s="228"/>
      <c r="LOP18" s="228"/>
      <c r="LOQ18" s="226"/>
      <c r="LOR18" s="226"/>
      <c r="LOS18" s="224"/>
      <c r="LOT18" s="225"/>
      <c r="LOU18" s="226"/>
      <c r="LOV18" s="227"/>
      <c r="LOW18" s="228"/>
      <c r="LOX18" s="228"/>
      <c r="LOY18" s="228"/>
      <c r="LOZ18" s="228"/>
      <c r="LPA18" s="228"/>
      <c r="LPB18" s="228"/>
      <c r="LPC18" s="226"/>
      <c r="LPD18" s="226"/>
      <c r="LPE18" s="224"/>
      <c r="LPF18" s="225"/>
      <c r="LPG18" s="226"/>
      <c r="LPH18" s="227"/>
      <c r="LPI18" s="228"/>
      <c r="LPJ18" s="228"/>
      <c r="LPK18" s="228"/>
      <c r="LPL18" s="228"/>
      <c r="LPM18" s="228"/>
      <c r="LPN18" s="228"/>
      <c r="LPO18" s="226"/>
      <c r="LPP18" s="226"/>
      <c r="LPQ18" s="224"/>
      <c r="LPR18" s="225"/>
      <c r="LPS18" s="226"/>
      <c r="LPT18" s="227"/>
      <c r="LPU18" s="228"/>
      <c r="LPV18" s="228"/>
      <c r="LPW18" s="228"/>
      <c r="LPX18" s="228"/>
      <c r="LPY18" s="228"/>
      <c r="LPZ18" s="228"/>
      <c r="LQA18" s="226"/>
      <c r="LQB18" s="226"/>
      <c r="LQC18" s="224"/>
      <c r="LQD18" s="225"/>
      <c r="LQE18" s="226"/>
      <c r="LQF18" s="227"/>
      <c r="LQG18" s="228"/>
      <c r="LQH18" s="228"/>
      <c r="LQI18" s="228"/>
      <c r="LQJ18" s="228"/>
      <c r="LQK18" s="228"/>
      <c r="LQL18" s="228"/>
      <c r="LQM18" s="226"/>
      <c r="LQN18" s="226"/>
      <c r="LQO18" s="224"/>
      <c r="LQP18" s="225"/>
      <c r="LQQ18" s="226"/>
      <c r="LQR18" s="227"/>
      <c r="LQS18" s="228"/>
      <c r="LQT18" s="228"/>
      <c r="LQU18" s="228"/>
      <c r="LQV18" s="228"/>
      <c r="LQW18" s="228"/>
      <c r="LQX18" s="228"/>
      <c r="LQY18" s="226"/>
      <c r="LQZ18" s="226"/>
      <c r="LRA18" s="224"/>
      <c r="LRB18" s="225"/>
      <c r="LRC18" s="226"/>
      <c r="LRD18" s="227"/>
      <c r="LRE18" s="228"/>
      <c r="LRF18" s="228"/>
      <c r="LRG18" s="228"/>
      <c r="LRH18" s="228"/>
      <c r="LRI18" s="228"/>
      <c r="LRJ18" s="228"/>
      <c r="LRK18" s="226"/>
      <c r="LRL18" s="226"/>
      <c r="LRM18" s="224"/>
      <c r="LRN18" s="225"/>
      <c r="LRO18" s="226"/>
      <c r="LRP18" s="227"/>
      <c r="LRQ18" s="228"/>
      <c r="LRR18" s="228"/>
      <c r="LRS18" s="228"/>
      <c r="LRT18" s="228"/>
      <c r="LRU18" s="228"/>
      <c r="LRV18" s="228"/>
      <c r="LRW18" s="226"/>
      <c r="LRX18" s="226"/>
      <c r="LRY18" s="224"/>
      <c r="LRZ18" s="225"/>
      <c r="LSA18" s="226"/>
      <c r="LSB18" s="227"/>
      <c r="LSC18" s="228"/>
      <c r="LSD18" s="228"/>
      <c r="LSE18" s="228"/>
      <c r="LSF18" s="228"/>
      <c r="LSG18" s="228"/>
      <c r="LSH18" s="228"/>
      <c r="LSI18" s="226"/>
      <c r="LSJ18" s="226"/>
      <c r="LSK18" s="224"/>
      <c r="LSL18" s="225"/>
      <c r="LSM18" s="226"/>
      <c r="LSN18" s="227"/>
      <c r="LSO18" s="228"/>
      <c r="LSP18" s="228"/>
      <c r="LSQ18" s="228"/>
      <c r="LSR18" s="228"/>
      <c r="LSS18" s="228"/>
      <c r="LST18" s="228"/>
      <c r="LSU18" s="226"/>
      <c r="LSV18" s="226"/>
      <c r="LSW18" s="224"/>
      <c r="LSX18" s="225"/>
      <c r="LSY18" s="226"/>
      <c r="LSZ18" s="227"/>
      <c r="LTA18" s="228"/>
      <c r="LTB18" s="228"/>
      <c r="LTC18" s="228"/>
      <c r="LTD18" s="228"/>
      <c r="LTE18" s="228"/>
      <c r="LTF18" s="228"/>
      <c r="LTG18" s="226"/>
      <c r="LTH18" s="226"/>
      <c r="LTI18" s="224"/>
      <c r="LTJ18" s="225"/>
      <c r="LTK18" s="226"/>
      <c r="LTL18" s="227"/>
      <c r="LTM18" s="228"/>
      <c r="LTN18" s="228"/>
      <c r="LTO18" s="228"/>
      <c r="LTP18" s="228"/>
      <c r="LTQ18" s="228"/>
      <c r="LTR18" s="228"/>
      <c r="LTS18" s="226"/>
      <c r="LTT18" s="226"/>
      <c r="LTU18" s="224"/>
      <c r="LTV18" s="225"/>
      <c r="LTW18" s="226"/>
      <c r="LTX18" s="227"/>
      <c r="LTY18" s="228"/>
      <c r="LTZ18" s="228"/>
      <c r="LUA18" s="228"/>
      <c r="LUB18" s="228"/>
      <c r="LUC18" s="228"/>
      <c r="LUD18" s="228"/>
      <c r="LUE18" s="226"/>
      <c r="LUF18" s="226"/>
      <c r="LUG18" s="224"/>
      <c r="LUH18" s="225"/>
      <c r="LUI18" s="226"/>
      <c r="LUJ18" s="227"/>
      <c r="LUK18" s="228"/>
      <c r="LUL18" s="228"/>
      <c r="LUM18" s="228"/>
      <c r="LUN18" s="228"/>
      <c r="LUO18" s="228"/>
      <c r="LUP18" s="228"/>
      <c r="LUQ18" s="226"/>
      <c r="LUR18" s="226"/>
      <c r="LUS18" s="224"/>
      <c r="LUT18" s="225"/>
      <c r="LUU18" s="226"/>
      <c r="LUV18" s="227"/>
      <c r="LUW18" s="228"/>
      <c r="LUX18" s="228"/>
      <c r="LUY18" s="228"/>
      <c r="LUZ18" s="228"/>
      <c r="LVA18" s="228"/>
      <c r="LVB18" s="228"/>
      <c r="LVC18" s="226"/>
      <c r="LVD18" s="226"/>
      <c r="LVE18" s="224"/>
      <c r="LVF18" s="225"/>
      <c r="LVG18" s="226"/>
      <c r="LVH18" s="227"/>
      <c r="LVI18" s="228"/>
      <c r="LVJ18" s="228"/>
      <c r="LVK18" s="228"/>
      <c r="LVL18" s="228"/>
      <c r="LVM18" s="228"/>
      <c r="LVN18" s="228"/>
      <c r="LVO18" s="226"/>
      <c r="LVP18" s="226"/>
      <c r="LVQ18" s="224"/>
      <c r="LVR18" s="225"/>
      <c r="LVS18" s="226"/>
      <c r="LVT18" s="227"/>
      <c r="LVU18" s="228"/>
      <c r="LVV18" s="228"/>
      <c r="LVW18" s="228"/>
      <c r="LVX18" s="228"/>
      <c r="LVY18" s="228"/>
      <c r="LVZ18" s="228"/>
      <c r="LWA18" s="226"/>
      <c r="LWB18" s="226"/>
      <c r="LWC18" s="224"/>
      <c r="LWD18" s="225"/>
      <c r="LWE18" s="226"/>
      <c r="LWF18" s="227"/>
      <c r="LWG18" s="228"/>
      <c r="LWH18" s="228"/>
      <c r="LWI18" s="228"/>
      <c r="LWJ18" s="228"/>
      <c r="LWK18" s="228"/>
      <c r="LWL18" s="228"/>
      <c r="LWM18" s="226"/>
      <c r="LWN18" s="226"/>
      <c r="LWO18" s="224"/>
      <c r="LWP18" s="225"/>
      <c r="LWQ18" s="226"/>
      <c r="LWR18" s="227"/>
      <c r="LWS18" s="228"/>
      <c r="LWT18" s="228"/>
      <c r="LWU18" s="228"/>
      <c r="LWV18" s="228"/>
      <c r="LWW18" s="228"/>
      <c r="LWX18" s="228"/>
      <c r="LWY18" s="226"/>
      <c r="LWZ18" s="226"/>
      <c r="LXA18" s="224"/>
      <c r="LXB18" s="225"/>
      <c r="LXC18" s="226"/>
      <c r="LXD18" s="227"/>
      <c r="LXE18" s="228"/>
      <c r="LXF18" s="228"/>
      <c r="LXG18" s="228"/>
      <c r="LXH18" s="228"/>
      <c r="LXI18" s="228"/>
      <c r="LXJ18" s="228"/>
      <c r="LXK18" s="226"/>
      <c r="LXL18" s="226"/>
      <c r="LXM18" s="224"/>
      <c r="LXN18" s="225"/>
      <c r="LXO18" s="226"/>
      <c r="LXP18" s="227"/>
      <c r="LXQ18" s="228"/>
      <c r="LXR18" s="228"/>
      <c r="LXS18" s="228"/>
      <c r="LXT18" s="228"/>
      <c r="LXU18" s="228"/>
      <c r="LXV18" s="228"/>
      <c r="LXW18" s="226"/>
      <c r="LXX18" s="226"/>
      <c r="LXY18" s="224"/>
      <c r="LXZ18" s="225"/>
      <c r="LYA18" s="226"/>
      <c r="LYB18" s="227"/>
      <c r="LYC18" s="228"/>
      <c r="LYD18" s="228"/>
      <c r="LYE18" s="228"/>
      <c r="LYF18" s="228"/>
      <c r="LYG18" s="228"/>
      <c r="LYH18" s="228"/>
      <c r="LYI18" s="226"/>
      <c r="LYJ18" s="226"/>
      <c r="LYK18" s="224"/>
      <c r="LYL18" s="225"/>
      <c r="LYM18" s="226"/>
      <c r="LYN18" s="227"/>
      <c r="LYO18" s="228"/>
      <c r="LYP18" s="228"/>
      <c r="LYQ18" s="228"/>
      <c r="LYR18" s="228"/>
      <c r="LYS18" s="228"/>
      <c r="LYT18" s="228"/>
      <c r="LYU18" s="226"/>
      <c r="LYV18" s="226"/>
      <c r="LYW18" s="224"/>
      <c r="LYX18" s="225"/>
      <c r="LYY18" s="226"/>
      <c r="LYZ18" s="227"/>
      <c r="LZA18" s="228"/>
      <c r="LZB18" s="228"/>
      <c r="LZC18" s="228"/>
      <c r="LZD18" s="228"/>
      <c r="LZE18" s="228"/>
      <c r="LZF18" s="228"/>
      <c r="LZG18" s="226"/>
      <c r="LZH18" s="226"/>
      <c r="LZI18" s="224"/>
      <c r="LZJ18" s="225"/>
      <c r="LZK18" s="226"/>
      <c r="LZL18" s="227"/>
      <c r="LZM18" s="228"/>
      <c r="LZN18" s="228"/>
      <c r="LZO18" s="228"/>
      <c r="LZP18" s="228"/>
      <c r="LZQ18" s="228"/>
      <c r="LZR18" s="228"/>
      <c r="LZS18" s="226"/>
      <c r="LZT18" s="226"/>
      <c r="LZU18" s="224"/>
      <c r="LZV18" s="225"/>
      <c r="LZW18" s="226"/>
      <c r="LZX18" s="227"/>
      <c r="LZY18" s="228"/>
      <c r="LZZ18" s="228"/>
      <c r="MAA18" s="228"/>
      <c r="MAB18" s="228"/>
      <c r="MAC18" s="228"/>
      <c r="MAD18" s="228"/>
      <c r="MAE18" s="226"/>
      <c r="MAF18" s="226"/>
      <c r="MAG18" s="224"/>
      <c r="MAH18" s="225"/>
      <c r="MAI18" s="226"/>
      <c r="MAJ18" s="227"/>
      <c r="MAK18" s="228"/>
      <c r="MAL18" s="228"/>
      <c r="MAM18" s="228"/>
      <c r="MAN18" s="228"/>
      <c r="MAO18" s="228"/>
      <c r="MAP18" s="228"/>
      <c r="MAQ18" s="226"/>
      <c r="MAR18" s="226"/>
      <c r="MAS18" s="224"/>
      <c r="MAT18" s="225"/>
      <c r="MAU18" s="226"/>
      <c r="MAV18" s="227"/>
      <c r="MAW18" s="228"/>
      <c r="MAX18" s="228"/>
      <c r="MAY18" s="228"/>
      <c r="MAZ18" s="228"/>
      <c r="MBA18" s="228"/>
      <c r="MBB18" s="228"/>
      <c r="MBC18" s="226"/>
      <c r="MBD18" s="226"/>
      <c r="MBE18" s="224"/>
      <c r="MBF18" s="225"/>
      <c r="MBG18" s="226"/>
      <c r="MBH18" s="227"/>
      <c r="MBI18" s="228"/>
      <c r="MBJ18" s="228"/>
      <c r="MBK18" s="228"/>
      <c r="MBL18" s="228"/>
      <c r="MBM18" s="228"/>
      <c r="MBN18" s="228"/>
      <c r="MBO18" s="226"/>
      <c r="MBP18" s="226"/>
      <c r="MBQ18" s="224"/>
      <c r="MBR18" s="225"/>
      <c r="MBS18" s="226"/>
      <c r="MBT18" s="227"/>
      <c r="MBU18" s="228"/>
      <c r="MBV18" s="228"/>
      <c r="MBW18" s="228"/>
      <c r="MBX18" s="228"/>
      <c r="MBY18" s="228"/>
      <c r="MBZ18" s="228"/>
      <c r="MCA18" s="226"/>
      <c r="MCB18" s="226"/>
      <c r="MCC18" s="224"/>
      <c r="MCD18" s="225"/>
      <c r="MCE18" s="226"/>
      <c r="MCF18" s="227"/>
      <c r="MCG18" s="228"/>
      <c r="MCH18" s="228"/>
      <c r="MCI18" s="228"/>
      <c r="MCJ18" s="228"/>
      <c r="MCK18" s="228"/>
      <c r="MCL18" s="228"/>
      <c r="MCM18" s="226"/>
      <c r="MCN18" s="226"/>
      <c r="MCO18" s="224"/>
      <c r="MCP18" s="225"/>
      <c r="MCQ18" s="226"/>
      <c r="MCR18" s="227"/>
      <c r="MCS18" s="228"/>
      <c r="MCT18" s="228"/>
      <c r="MCU18" s="228"/>
      <c r="MCV18" s="228"/>
      <c r="MCW18" s="228"/>
      <c r="MCX18" s="228"/>
      <c r="MCY18" s="226"/>
      <c r="MCZ18" s="226"/>
      <c r="MDA18" s="224"/>
      <c r="MDB18" s="225"/>
      <c r="MDC18" s="226"/>
      <c r="MDD18" s="227"/>
      <c r="MDE18" s="228"/>
      <c r="MDF18" s="228"/>
      <c r="MDG18" s="228"/>
      <c r="MDH18" s="228"/>
      <c r="MDI18" s="228"/>
      <c r="MDJ18" s="228"/>
      <c r="MDK18" s="226"/>
      <c r="MDL18" s="226"/>
      <c r="MDM18" s="224"/>
      <c r="MDN18" s="225"/>
      <c r="MDO18" s="226"/>
      <c r="MDP18" s="227"/>
      <c r="MDQ18" s="228"/>
      <c r="MDR18" s="228"/>
      <c r="MDS18" s="228"/>
      <c r="MDT18" s="228"/>
      <c r="MDU18" s="228"/>
      <c r="MDV18" s="228"/>
      <c r="MDW18" s="226"/>
      <c r="MDX18" s="226"/>
      <c r="MDY18" s="224"/>
      <c r="MDZ18" s="225"/>
      <c r="MEA18" s="226"/>
      <c r="MEB18" s="227"/>
      <c r="MEC18" s="228"/>
      <c r="MED18" s="228"/>
      <c r="MEE18" s="228"/>
      <c r="MEF18" s="228"/>
      <c r="MEG18" s="228"/>
      <c r="MEH18" s="228"/>
      <c r="MEI18" s="226"/>
      <c r="MEJ18" s="226"/>
      <c r="MEK18" s="224"/>
      <c r="MEL18" s="225"/>
      <c r="MEM18" s="226"/>
      <c r="MEN18" s="227"/>
      <c r="MEO18" s="228"/>
      <c r="MEP18" s="228"/>
      <c r="MEQ18" s="228"/>
      <c r="MER18" s="228"/>
      <c r="MES18" s="228"/>
      <c r="MET18" s="228"/>
      <c r="MEU18" s="226"/>
      <c r="MEV18" s="226"/>
      <c r="MEW18" s="224"/>
      <c r="MEX18" s="225"/>
      <c r="MEY18" s="226"/>
      <c r="MEZ18" s="227"/>
      <c r="MFA18" s="228"/>
      <c r="MFB18" s="228"/>
      <c r="MFC18" s="228"/>
      <c r="MFD18" s="228"/>
      <c r="MFE18" s="228"/>
      <c r="MFF18" s="228"/>
      <c r="MFG18" s="226"/>
      <c r="MFH18" s="226"/>
      <c r="MFI18" s="224"/>
      <c r="MFJ18" s="225"/>
      <c r="MFK18" s="226"/>
      <c r="MFL18" s="227"/>
      <c r="MFM18" s="228"/>
      <c r="MFN18" s="228"/>
      <c r="MFO18" s="228"/>
      <c r="MFP18" s="228"/>
      <c r="MFQ18" s="228"/>
      <c r="MFR18" s="228"/>
      <c r="MFS18" s="226"/>
      <c r="MFT18" s="226"/>
      <c r="MFU18" s="224"/>
      <c r="MFV18" s="225"/>
      <c r="MFW18" s="226"/>
      <c r="MFX18" s="227"/>
      <c r="MFY18" s="228"/>
      <c r="MFZ18" s="228"/>
      <c r="MGA18" s="228"/>
      <c r="MGB18" s="228"/>
      <c r="MGC18" s="228"/>
      <c r="MGD18" s="228"/>
      <c r="MGE18" s="226"/>
      <c r="MGF18" s="226"/>
      <c r="MGG18" s="224"/>
      <c r="MGH18" s="225"/>
      <c r="MGI18" s="226"/>
      <c r="MGJ18" s="227"/>
      <c r="MGK18" s="228"/>
      <c r="MGL18" s="228"/>
      <c r="MGM18" s="228"/>
      <c r="MGN18" s="228"/>
      <c r="MGO18" s="228"/>
      <c r="MGP18" s="228"/>
      <c r="MGQ18" s="226"/>
      <c r="MGR18" s="226"/>
      <c r="MGS18" s="224"/>
      <c r="MGT18" s="225"/>
      <c r="MGU18" s="226"/>
      <c r="MGV18" s="227"/>
      <c r="MGW18" s="228"/>
      <c r="MGX18" s="228"/>
      <c r="MGY18" s="228"/>
      <c r="MGZ18" s="228"/>
      <c r="MHA18" s="228"/>
      <c r="MHB18" s="228"/>
      <c r="MHC18" s="226"/>
      <c r="MHD18" s="226"/>
      <c r="MHE18" s="224"/>
      <c r="MHF18" s="225"/>
      <c r="MHG18" s="226"/>
      <c r="MHH18" s="227"/>
      <c r="MHI18" s="228"/>
      <c r="MHJ18" s="228"/>
      <c r="MHK18" s="228"/>
      <c r="MHL18" s="228"/>
      <c r="MHM18" s="228"/>
      <c r="MHN18" s="228"/>
      <c r="MHO18" s="226"/>
      <c r="MHP18" s="226"/>
      <c r="MHQ18" s="224"/>
      <c r="MHR18" s="225"/>
      <c r="MHS18" s="226"/>
      <c r="MHT18" s="227"/>
      <c r="MHU18" s="228"/>
      <c r="MHV18" s="228"/>
      <c r="MHW18" s="228"/>
      <c r="MHX18" s="228"/>
      <c r="MHY18" s="228"/>
      <c r="MHZ18" s="228"/>
      <c r="MIA18" s="226"/>
      <c r="MIB18" s="226"/>
      <c r="MIC18" s="224"/>
      <c r="MID18" s="225"/>
      <c r="MIE18" s="226"/>
      <c r="MIF18" s="227"/>
      <c r="MIG18" s="228"/>
      <c r="MIH18" s="228"/>
      <c r="MII18" s="228"/>
      <c r="MIJ18" s="228"/>
      <c r="MIK18" s="228"/>
      <c r="MIL18" s="228"/>
      <c r="MIM18" s="226"/>
      <c r="MIN18" s="226"/>
      <c r="MIO18" s="224"/>
      <c r="MIP18" s="225"/>
      <c r="MIQ18" s="226"/>
      <c r="MIR18" s="227"/>
      <c r="MIS18" s="228"/>
      <c r="MIT18" s="228"/>
      <c r="MIU18" s="228"/>
      <c r="MIV18" s="228"/>
      <c r="MIW18" s="228"/>
      <c r="MIX18" s="228"/>
      <c r="MIY18" s="226"/>
      <c r="MIZ18" s="226"/>
      <c r="MJA18" s="224"/>
      <c r="MJB18" s="225"/>
      <c r="MJC18" s="226"/>
      <c r="MJD18" s="227"/>
      <c r="MJE18" s="228"/>
      <c r="MJF18" s="228"/>
      <c r="MJG18" s="228"/>
      <c r="MJH18" s="228"/>
      <c r="MJI18" s="228"/>
      <c r="MJJ18" s="228"/>
      <c r="MJK18" s="226"/>
      <c r="MJL18" s="226"/>
      <c r="MJM18" s="224"/>
      <c r="MJN18" s="225"/>
      <c r="MJO18" s="226"/>
      <c r="MJP18" s="227"/>
      <c r="MJQ18" s="228"/>
      <c r="MJR18" s="228"/>
      <c r="MJS18" s="228"/>
      <c r="MJT18" s="228"/>
      <c r="MJU18" s="228"/>
      <c r="MJV18" s="228"/>
      <c r="MJW18" s="226"/>
      <c r="MJX18" s="226"/>
      <c r="MJY18" s="224"/>
      <c r="MJZ18" s="225"/>
      <c r="MKA18" s="226"/>
      <c r="MKB18" s="227"/>
      <c r="MKC18" s="228"/>
      <c r="MKD18" s="228"/>
      <c r="MKE18" s="228"/>
      <c r="MKF18" s="228"/>
      <c r="MKG18" s="228"/>
      <c r="MKH18" s="228"/>
      <c r="MKI18" s="226"/>
      <c r="MKJ18" s="226"/>
      <c r="MKK18" s="224"/>
      <c r="MKL18" s="225"/>
      <c r="MKM18" s="226"/>
      <c r="MKN18" s="227"/>
      <c r="MKO18" s="228"/>
      <c r="MKP18" s="228"/>
      <c r="MKQ18" s="228"/>
      <c r="MKR18" s="228"/>
      <c r="MKS18" s="228"/>
      <c r="MKT18" s="228"/>
      <c r="MKU18" s="226"/>
      <c r="MKV18" s="226"/>
      <c r="MKW18" s="224"/>
      <c r="MKX18" s="225"/>
      <c r="MKY18" s="226"/>
      <c r="MKZ18" s="227"/>
      <c r="MLA18" s="228"/>
      <c r="MLB18" s="228"/>
      <c r="MLC18" s="228"/>
      <c r="MLD18" s="228"/>
      <c r="MLE18" s="228"/>
      <c r="MLF18" s="228"/>
      <c r="MLG18" s="226"/>
      <c r="MLH18" s="226"/>
      <c r="MLI18" s="224"/>
      <c r="MLJ18" s="225"/>
      <c r="MLK18" s="226"/>
      <c r="MLL18" s="227"/>
      <c r="MLM18" s="228"/>
      <c r="MLN18" s="228"/>
      <c r="MLO18" s="228"/>
      <c r="MLP18" s="228"/>
      <c r="MLQ18" s="228"/>
      <c r="MLR18" s="228"/>
      <c r="MLS18" s="226"/>
      <c r="MLT18" s="226"/>
      <c r="MLU18" s="224"/>
      <c r="MLV18" s="225"/>
      <c r="MLW18" s="226"/>
      <c r="MLX18" s="227"/>
      <c r="MLY18" s="228"/>
      <c r="MLZ18" s="228"/>
      <c r="MMA18" s="228"/>
      <c r="MMB18" s="228"/>
      <c r="MMC18" s="228"/>
      <c r="MMD18" s="228"/>
      <c r="MME18" s="226"/>
      <c r="MMF18" s="226"/>
      <c r="MMG18" s="224"/>
      <c r="MMH18" s="225"/>
      <c r="MMI18" s="226"/>
      <c r="MMJ18" s="227"/>
      <c r="MMK18" s="228"/>
      <c r="MML18" s="228"/>
      <c r="MMM18" s="228"/>
      <c r="MMN18" s="228"/>
      <c r="MMO18" s="228"/>
      <c r="MMP18" s="228"/>
      <c r="MMQ18" s="226"/>
      <c r="MMR18" s="226"/>
      <c r="MMS18" s="224"/>
      <c r="MMT18" s="225"/>
      <c r="MMU18" s="226"/>
      <c r="MMV18" s="227"/>
      <c r="MMW18" s="228"/>
      <c r="MMX18" s="228"/>
      <c r="MMY18" s="228"/>
      <c r="MMZ18" s="228"/>
      <c r="MNA18" s="228"/>
      <c r="MNB18" s="228"/>
      <c r="MNC18" s="226"/>
      <c r="MND18" s="226"/>
      <c r="MNE18" s="224"/>
      <c r="MNF18" s="225"/>
      <c r="MNG18" s="226"/>
      <c r="MNH18" s="227"/>
      <c r="MNI18" s="228"/>
      <c r="MNJ18" s="228"/>
      <c r="MNK18" s="228"/>
      <c r="MNL18" s="228"/>
      <c r="MNM18" s="228"/>
      <c r="MNN18" s="228"/>
      <c r="MNO18" s="226"/>
      <c r="MNP18" s="226"/>
      <c r="MNQ18" s="224"/>
      <c r="MNR18" s="225"/>
      <c r="MNS18" s="226"/>
      <c r="MNT18" s="227"/>
      <c r="MNU18" s="228"/>
      <c r="MNV18" s="228"/>
      <c r="MNW18" s="228"/>
      <c r="MNX18" s="228"/>
      <c r="MNY18" s="228"/>
      <c r="MNZ18" s="228"/>
      <c r="MOA18" s="226"/>
      <c r="MOB18" s="226"/>
      <c r="MOC18" s="224"/>
      <c r="MOD18" s="225"/>
      <c r="MOE18" s="226"/>
      <c r="MOF18" s="227"/>
      <c r="MOG18" s="228"/>
      <c r="MOH18" s="228"/>
      <c r="MOI18" s="228"/>
      <c r="MOJ18" s="228"/>
      <c r="MOK18" s="228"/>
      <c r="MOL18" s="228"/>
      <c r="MOM18" s="226"/>
      <c r="MON18" s="226"/>
      <c r="MOO18" s="224"/>
      <c r="MOP18" s="225"/>
      <c r="MOQ18" s="226"/>
      <c r="MOR18" s="227"/>
      <c r="MOS18" s="228"/>
      <c r="MOT18" s="228"/>
      <c r="MOU18" s="228"/>
      <c r="MOV18" s="228"/>
      <c r="MOW18" s="228"/>
      <c r="MOX18" s="228"/>
      <c r="MOY18" s="226"/>
      <c r="MOZ18" s="226"/>
      <c r="MPA18" s="224"/>
      <c r="MPB18" s="225"/>
      <c r="MPC18" s="226"/>
      <c r="MPD18" s="227"/>
      <c r="MPE18" s="228"/>
      <c r="MPF18" s="228"/>
      <c r="MPG18" s="228"/>
      <c r="MPH18" s="228"/>
      <c r="MPI18" s="228"/>
      <c r="MPJ18" s="228"/>
      <c r="MPK18" s="226"/>
      <c r="MPL18" s="226"/>
      <c r="MPM18" s="224"/>
      <c r="MPN18" s="225"/>
      <c r="MPO18" s="226"/>
      <c r="MPP18" s="227"/>
      <c r="MPQ18" s="228"/>
      <c r="MPR18" s="228"/>
      <c r="MPS18" s="228"/>
      <c r="MPT18" s="228"/>
      <c r="MPU18" s="228"/>
      <c r="MPV18" s="228"/>
      <c r="MPW18" s="226"/>
      <c r="MPX18" s="226"/>
      <c r="MPY18" s="224"/>
      <c r="MPZ18" s="225"/>
      <c r="MQA18" s="226"/>
      <c r="MQB18" s="227"/>
      <c r="MQC18" s="228"/>
      <c r="MQD18" s="228"/>
      <c r="MQE18" s="228"/>
      <c r="MQF18" s="228"/>
      <c r="MQG18" s="228"/>
      <c r="MQH18" s="228"/>
      <c r="MQI18" s="226"/>
      <c r="MQJ18" s="226"/>
      <c r="MQK18" s="224"/>
      <c r="MQL18" s="225"/>
      <c r="MQM18" s="226"/>
      <c r="MQN18" s="227"/>
      <c r="MQO18" s="228"/>
      <c r="MQP18" s="228"/>
      <c r="MQQ18" s="228"/>
      <c r="MQR18" s="228"/>
      <c r="MQS18" s="228"/>
      <c r="MQT18" s="228"/>
      <c r="MQU18" s="226"/>
      <c r="MQV18" s="226"/>
      <c r="MQW18" s="224"/>
      <c r="MQX18" s="225"/>
      <c r="MQY18" s="226"/>
      <c r="MQZ18" s="227"/>
      <c r="MRA18" s="228"/>
      <c r="MRB18" s="228"/>
      <c r="MRC18" s="228"/>
      <c r="MRD18" s="228"/>
      <c r="MRE18" s="228"/>
      <c r="MRF18" s="228"/>
      <c r="MRG18" s="226"/>
      <c r="MRH18" s="226"/>
      <c r="MRI18" s="224"/>
      <c r="MRJ18" s="225"/>
      <c r="MRK18" s="226"/>
      <c r="MRL18" s="227"/>
      <c r="MRM18" s="228"/>
      <c r="MRN18" s="228"/>
      <c r="MRO18" s="228"/>
      <c r="MRP18" s="228"/>
      <c r="MRQ18" s="228"/>
      <c r="MRR18" s="228"/>
      <c r="MRS18" s="226"/>
      <c r="MRT18" s="226"/>
      <c r="MRU18" s="224"/>
      <c r="MRV18" s="225"/>
      <c r="MRW18" s="226"/>
      <c r="MRX18" s="227"/>
      <c r="MRY18" s="228"/>
      <c r="MRZ18" s="228"/>
      <c r="MSA18" s="228"/>
      <c r="MSB18" s="228"/>
      <c r="MSC18" s="228"/>
      <c r="MSD18" s="228"/>
      <c r="MSE18" s="226"/>
      <c r="MSF18" s="226"/>
      <c r="MSG18" s="224"/>
      <c r="MSH18" s="225"/>
      <c r="MSI18" s="226"/>
      <c r="MSJ18" s="227"/>
      <c r="MSK18" s="228"/>
      <c r="MSL18" s="228"/>
      <c r="MSM18" s="228"/>
      <c r="MSN18" s="228"/>
      <c r="MSO18" s="228"/>
      <c r="MSP18" s="228"/>
      <c r="MSQ18" s="226"/>
      <c r="MSR18" s="226"/>
      <c r="MSS18" s="224"/>
      <c r="MST18" s="225"/>
      <c r="MSU18" s="226"/>
      <c r="MSV18" s="227"/>
      <c r="MSW18" s="228"/>
      <c r="MSX18" s="228"/>
      <c r="MSY18" s="228"/>
      <c r="MSZ18" s="228"/>
      <c r="MTA18" s="228"/>
      <c r="MTB18" s="228"/>
      <c r="MTC18" s="226"/>
      <c r="MTD18" s="226"/>
      <c r="MTE18" s="224"/>
      <c r="MTF18" s="225"/>
      <c r="MTG18" s="226"/>
      <c r="MTH18" s="227"/>
      <c r="MTI18" s="228"/>
      <c r="MTJ18" s="228"/>
      <c r="MTK18" s="228"/>
      <c r="MTL18" s="228"/>
      <c r="MTM18" s="228"/>
      <c r="MTN18" s="228"/>
      <c r="MTO18" s="226"/>
      <c r="MTP18" s="226"/>
      <c r="MTQ18" s="224"/>
      <c r="MTR18" s="225"/>
      <c r="MTS18" s="226"/>
      <c r="MTT18" s="227"/>
      <c r="MTU18" s="228"/>
      <c r="MTV18" s="228"/>
      <c r="MTW18" s="228"/>
      <c r="MTX18" s="228"/>
      <c r="MTY18" s="228"/>
      <c r="MTZ18" s="228"/>
      <c r="MUA18" s="226"/>
      <c r="MUB18" s="226"/>
      <c r="MUC18" s="224"/>
      <c r="MUD18" s="225"/>
      <c r="MUE18" s="226"/>
      <c r="MUF18" s="227"/>
      <c r="MUG18" s="228"/>
      <c r="MUH18" s="228"/>
      <c r="MUI18" s="228"/>
      <c r="MUJ18" s="228"/>
      <c r="MUK18" s="228"/>
      <c r="MUL18" s="228"/>
      <c r="MUM18" s="226"/>
      <c r="MUN18" s="226"/>
      <c r="MUO18" s="224"/>
      <c r="MUP18" s="225"/>
      <c r="MUQ18" s="226"/>
      <c r="MUR18" s="227"/>
      <c r="MUS18" s="228"/>
      <c r="MUT18" s="228"/>
      <c r="MUU18" s="228"/>
      <c r="MUV18" s="228"/>
      <c r="MUW18" s="228"/>
      <c r="MUX18" s="228"/>
      <c r="MUY18" s="226"/>
      <c r="MUZ18" s="226"/>
      <c r="MVA18" s="224"/>
      <c r="MVB18" s="225"/>
      <c r="MVC18" s="226"/>
      <c r="MVD18" s="227"/>
      <c r="MVE18" s="228"/>
      <c r="MVF18" s="228"/>
      <c r="MVG18" s="228"/>
      <c r="MVH18" s="228"/>
      <c r="MVI18" s="228"/>
      <c r="MVJ18" s="228"/>
      <c r="MVK18" s="226"/>
      <c r="MVL18" s="226"/>
      <c r="MVM18" s="224"/>
      <c r="MVN18" s="225"/>
      <c r="MVO18" s="226"/>
      <c r="MVP18" s="227"/>
      <c r="MVQ18" s="228"/>
      <c r="MVR18" s="228"/>
      <c r="MVS18" s="228"/>
      <c r="MVT18" s="228"/>
      <c r="MVU18" s="228"/>
      <c r="MVV18" s="228"/>
      <c r="MVW18" s="226"/>
      <c r="MVX18" s="226"/>
      <c r="MVY18" s="224"/>
      <c r="MVZ18" s="225"/>
      <c r="MWA18" s="226"/>
      <c r="MWB18" s="227"/>
      <c r="MWC18" s="228"/>
      <c r="MWD18" s="228"/>
      <c r="MWE18" s="228"/>
      <c r="MWF18" s="228"/>
      <c r="MWG18" s="228"/>
      <c r="MWH18" s="228"/>
      <c r="MWI18" s="226"/>
      <c r="MWJ18" s="226"/>
      <c r="MWK18" s="224"/>
      <c r="MWL18" s="225"/>
      <c r="MWM18" s="226"/>
      <c r="MWN18" s="227"/>
      <c r="MWO18" s="228"/>
      <c r="MWP18" s="228"/>
      <c r="MWQ18" s="228"/>
      <c r="MWR18" s="228"/>
      <c r="MWS18" s="228"/>
      <c r="MWT18" s="228"/>
      <c r="MWU18" s="226"/>
      <c r="MWV18" s="226"/>
      <c r="MWW18" s="224"/>
      <c r="MWX18" s="225"/>
      <c r="MWY18" s="226"/>
      <c r="MWZ18" s="227"/>
      <c r="MXA18" s="228"/>
      <c r="MXB18" s="228"/>
      <c r="MXC18" s="228"/>
      <c r="MXD18" s="228"/>
      <c r="MXE18" s="228"/>
      <c r="MXF18" s="228"/>
      <c r="MXG18" s="226"/>
      <c r="MXH18" s="226"/>
      <c r="MXI18" s="224"/>
      <c r="MXJ18" s="225"/>
      <c r="MXK18" s="226"/>
      <c r="MXL18" s="227"/>
      <c r="MXM18" s="228"/>
      <c r="MXN18" s="228"/>
      <c r="MXO18" s="228"/>
      <c r="MXP18" s="228"/>
      <c r="MXQ18" s="228"/>
      <c r="MXR18" s="228"/>
      <c r="MXS18" s="226"/>
      <c r="MXT18" s="226"/>
      <c r="MXU18" s="224"/>
      <c r="MXV18" s="225"/>
      <c r="MXW18" s="226"/>
      <c r="MXX18" s="227"/>
      <c r="MXY18" s="228"/>
      <c r="MXZ18" s="228"/>
      <c r="MYA18" s="228"/>
      <c r="MYB18" s="228"/>
      <c r="MYC18" s="228"/>
      <c r="MYD18" s="228"/>
      <c r="MYE18" s="226"/>
      <c r="MYF18" s="226"/>
      <c r="MYG18" s="224"/>
      <c r="MYH18" s="225"/>
      <c r="MYI18" s="226"/>
      <c r="MYJ18" s="227"/>
      <c r="MYK18" s="228"/>
      <c r="MYL18" s="228"/>
      <c r="MYM18" s="228"/>
      <c r="MYN18" s="228"/>
      <c r="MYO18" s="228"/>
      <c r="MYP18" s="228"/>
      <c r="MYQ18" s="226"/>
      <c r="MYR18" s="226"/>
      <c r="MYS18" s="224"/>
      <c r="MYT18" s="225"/>
      <c r="MYU18" s="226"/>
      <c r="MYV18" s="227"/>
      <c r="MYW18" s="228"/>
      <c r="MYX18" s="228"/>
      <c r="MYY18" s="228"/>
      <c r="MYZ18" s="228"/>
      <c r="MZA18" s="228"/>
      <c r="MZB18" s="228"/>
      <c r="MZC18" s="226"/>
      <c r="MZD18" s="226"/>
      <c r="MZE18" s="224"/>
      <c r="MZF18" s="225"/>
      <c r="MZG18" s="226"/>
      <c r="MZH18" s="227"/>
      <c r="MZI18" s="228"/>
      <c r="MZJ18" s="228"/>
      <c r="MZK18" s="228"/>
      <c r="MZL18" s="228"/>
      <c r="MZM18" s="228"/>
      <c r="MZN18" s="228"/>
      <c r="MZO18" s="226"/>
      <c r="MZP18" s="226"/>
      <c r="MZQ18" s="224"/>
      <c r="MZR18" s="225"/>
      <c r="MZS18" s="226"/>
      <c r="MZT18" s="227"/>
      <c r="MZU18" s="228"/>
      <c r="MZV18" s="228"/>
      <c r="MZW18" s="228"/>
      <c r="MZX18" s="228"/>
      <c r="MZY18" s="228"/>
      <c r="MZZ18" s="228"/>
      <c r="NAA18" s="226"/>
      <c r="NAB18" s="226"/>
      <c r="NAC18" s="224"/>
      <c r="NAD18" s="225"/>
      <c r="NAE18" s="226"/>
      <c r="NAF18" s="227"/>
      <c r="NAG18" s="228"/>
      <c r="NAH18" s="228"/>
      <c r="NAI18" s="228"/>
      <c r="NAJ18" s="228"/>
      <c r="NAK18" s="228"/>
      <c r="NAL18" s="228"/>
      <c r="NAM18" s="226"/>
      <c r="NAN18" s="226"/>
      <c r="NAO18" s="224"/>
      <c r="NAP18" s="225"/>
      <c r="NAQ18" s="226"/>
      <c r="NAR18" s="227"/>
      <c r="NAS18" s="228"/>
      <c r="NAT18" s="228"/>
      <c r="NAU18" s="228"/>
      <c r="NAV18" s="228"/>
      <c r="NAW18" s="228"/>
      <c r="NAX18" s="228"/>
      <c r="NAY18" s="226"/>
      <c r="NAZ18" s="226"/>
      <c r="NBA18" s="224"/>
      <c r="NBB18" s="225"/>
      <c r="NBC18" s="226"/>
      <c r="NBD18" s="227"/>
      <c r="NBE18" s="228"/>
      <c r="NBF18" s="228"/>
      <c r="NBG18" s="228"/>
      <c r="NBH18" s="228"/>
      <c r="NBI18" s="228"/>
      <c r="NBJ18" s="228"/>
      <c r="NBK18" s="226"/>
      <c r="NBL18" s="226"/>
      <c r="NBM18" s="224"/>
      <c r="NBN18" s="225"/>
      <c r="NBO18" s="226"/>
      <c r="NBP18" s="227"/>
      <c r="NBQ18" s="228"/>
      <c r="NBR18" s="228"/>
      <c r="NBS18" s="228"/>
      <c r="NBT18" s="228"/>
      <c r="NBU18" s="228"/>
      <c r="NBV18" s="228"/>
      <c r="NBW18" s="226"/>
      <c r="NBX18" s="226"/>
      <c r="NBY18" s="224"/>
      <c r="NBZ18" s="225"/>
      <c r="NCA18" s="226"/>
      <c r="NCB18" s="227"/>
      <c r="NCC18" s="228"/>
      <c r="NCD18" s="228"/>
      <c r="NCE18" s="228"/>
      <c r="NCF18" s="228"/>
      <c r="NCG18" s="228"/>
      <c r="NCH18" s="228"/>
      <c r="NCI18" s="226"/>
      <c r="NCJ18" s="226"/>
      <c r="NCK18" s="224"/>
      <c r="NCL18" s="225"/>
      <c r="NCM18" s="226"/>
      <c r="NCN18" s="227"/>
      <c r="NCO18" s="228"/>
      <c r="NCP18" s="228"/>
      <c r="NCQ18" s="228"/>
      <c r="NCR18" s="228"/>
      <c r="NCS18" s="228"/>
      <c r="NCT18" s="228"/>
      <c r="NCU18" s="226"/>
      <c r="NCV18" s="226"/>
      <c r="NCW18" s="224"/>
      <c r="NCX18" s="225"/>
      <c r="NCY18" s="226"/>
      <c r="NCZ18" s="227"/>
      <c r="NDA18" s="228"/>
      <c r="NDB18" s="228"/>
      <c r="NDC18" s="228"/>
      <c r="NDD18" s="228"/>
      <c r="NDE18" s="228"/>
      <c r="NDF18" s="228"/>
      <c r="NDG18" s="226"/>
      <c r="NDH18" s="226"/>
      <c r="NDI18" s="224"/>
      <c r="NDJ18" s="225"/>
      <c r="NDK18" s="226"/>
      <c r="NDL18" s="227"/>
      <c r="NDM18" s="228"/>
      <c r="NDN18" s="228"/>
      <c r="NDO18" s="228"/>
      <c r="NDP18" s="228"/>
      <c r="NDQ18" s="228"/>
      <c r="NDR18" s="228"/>
      <c r="NDS18" s="226"/>
      <c r="NDT18" s="226"/>
      <c r="NDU18" s="224"/>
      <c r="NDV18" s="225"/>
      <c r="NDW18" s="226"/>
      <c r="NDX18" s="227"/>
      <c r="NDY18" s="228"/>
      <c r="NDZ18" s="228"/>
      <c r="NEA18" s="228"/>
      <c r="NEB18" s="228"/>
      <c r="NEC18" s="228"/>
      <c r="NED18" s="228"/>
      <c r="NEE18" s="226"/>
      <c r="NEF18" s="226"/>
      <c r="NEG18" s="224"/>
      <c r="NEH18" s="225"/>
      <c r="NEI18" s="226"/>
      <c r="NEJ18" s="227"/>
      <c r="NEK18" s="228"/>
      <c r="NEL18" s="228"/>
      <c r="NEM18" s="228"/>
      <c r="NEN18" s="228"/>
      <c r="NEO18" s="228"/>
      <c r="NEP18" s="228"/>
      <c r="NEQ18" s="226"/>
      <c r="NER18" s="226"/>
      <c r="NES18" s="224"/>
      <c r="NET18" s="225"/>
      <c r="NEU18" s="226"/>
      <c r="NEV18" s="227"/>
      <c r="NEW18" s="228"/>
      <c r="NEX18" s="228"/>
      <c r="NEY18" s="228"/>
      <c r="NEZ18" s="228"/>
      <c r="NFA18" s="228"/>
      <c r="NFB18" s="228"/>
      <c r="NFC18" s="226"/>
      <c r="NFD18" s="226"/>
      <c r="NFE18" s="224"/>
      <c r="NFF18" s="225"/>
      <c r="NFG18" s="226"/>
      <c r="NFH18" s="227"/>
      <c r="NFI18" s="228"/>
      <c r="NFJ18" s="228"/>
      <c r="NFK18" s="228"/>
      <c r="NFL18" s="228"/>
      <c r="NFM18" s="228"/>
      <c r="NFN18" s="228"/>
      <c r="NFO18" s="226"/>
      <c r="NFP18" s="226"/>
      <c r="NFQ18" s="224"/>
      <c r="NFR18" s="225"/>
      <c r="NFS18" s="226"/>
      <c r="NFT18" s="227"/>
      <c r="NFU18" s="228"/>
      <c r="NFV18" s="228"/>
      <c r="NFW18" s="228"/>
      <c r="NFX18" s="228"/>
      <c r="NFY18" s="228"/>
      <c r="NFZ18" s="228"/>
      <c r="NGA18" s="226"/>
      <c r="NGB18" s="226"/>
      <c r="NGC18" s="224"/>
      <c r="NGD18" s="225"/>
      <c r="NGE18" s="226"/>
      <c r="NGF18" s="227"/>
      <c r="NGG18" s="228"/>
      <c r="NGH18" s="228"/>
      <c r="NGI18" s="228"/>
      <c r="NGJ18" s="228"/>
      <c r="NGK18" s="228"/>
      <c r="NGL18" s="228"/>
      <c r="NGM18" s="226"/>
      <c r="NGN18" s="226"/>
      <c r="NGO18" s="224"/>
      <c r="NGP18" s="225"/>
      <c r="NGQ18" s="226"/>
      <c r="NGR18" s="227"/>
      <c r="NGS18" s="228"/>
      <c r="NGT18" s="228"/>
      <c r="NGU18" s="228"/>
      <c r="NGV18" s="228"/>
      <c r="NGW18" s="228"/>
      <c r="NGX18" s="228"/>
      <c r="NGY18" s="226"/>
      <c r="NGZ18" s="226"/>
      <c r="NHA18" s="224"/>
      <c r="NHB18" s="225"/>
      <c r="NHC18" s="226"/>
      <c r="NHD18" s="227"/>
      <c r="NHE18" s="228"/>
      <c r="NHF18" s="228"/>
      <c r="NHG18" s="228"/>
      <c r="NHH18" s="228"/>
      <c r="NHI18" s="228"/>
      <c r="NHJ18" s="228"/>
      <c r="NHK18" s="226"/>
      <c r="NHL18" s="226"/>
      <c r="NHM18" s="224"/>
      <c r="NHN18" s="225"/>
      <c r="NHO18" s="226"/>
      <c r="NHP18" s="227"/>
      <c r="NHQ18" s="228"/>
      <c r="NHR18" s="228"/>
      <c r="NHS18" s="228"/>
      <c r="NHT18" s="228"/>
      <c r="NHU18" s="228"/>
      <c r="NHV18" s="228"/>
      <c r="NHW18" s="226"/>
      <c r="NHX18" s="226"/>
      <c r="NHY18" s="224"/>
      <c r="NHZ18" s="225"/>
      <c r="NIA18" s="226"/>
      <c r="NIB18" s="227"/>
      <c r="NIC18" s="228"/>
      <c r="NID18" s="228"/>
      <c r="NIE18" s="228"/>
      <c r="NIF18" s="228"/>
      <c r="NIG18" s="228"/>
      <c r="NIH18" s="228"/>
      <c r="NII18" s="226"/>
      <c r="NIJ18" s="226"/>
      <c r="NIK18" s="224"/>
      <c r="NIL18" s="225"/>
      <c r="NIM18" s="226"/>
      <c r="NIN18" s="227"/>
      <c r="NIO18" s="228"/>
      <c r="NIP18" s="228"/>
      <c r="NIQ18" s="228"/>
      <c r="NIR18" s="228"/>
      <c r="NIS18" s="228"/>
      <c r="NIT18" s="228"/>
      <c r="NIU18" s="226"/>
      <c r="NIV18" s="226"/>
      <c r="NIW18" s="224"/>
      <c r="NIX18" s="225"/>
      <c r="NIY18" s="226"/>
      <c r="NIZ18" s="227"/>
      <c r="NJA18" s="228"/>
      <c r="NJB18" s="228"/>
      <c r="NJC18" s="228"/>
      <c r="NJD18" s="228"/>
      <c r="NJE18" s="228"/>
      <c r="NJF18" s="228"/>
      <c r="NJG18" s="226"/>
      <c r="NJH18" s="226"/>
      <c r="NJI18" s="224"/>
      <c r="NJJ18" s="225"/>
      <c r="NJK18" s="226"/>
      <c r="NJL18" s="227"/>
      <c r="NJM18" s="228"/>
      <c r="NJN18" s="228"/>
      <c r="NJO18" s="228"/>
      <c r="NJP18" s="228"/>
      <c r="NJQ18" s="228"/>
      <c r="NJR18" s="228"/>
      <c r="NJS18" s="226"/>
      <c r="NJT18" s="226"/>
      <c r="NJU18" s="224"/>
      <c r="NJV18" s="225"/>
      <c r="NJW18" s="226"/>
      <c r="NJX18" s="227"/>
      <c r="NJY18" s="228"/>
      <c r="NJZ18" s="228"/>
      <c r="NKA18" s="228"/>
      <c r="NKB18" s="228"/>
      <c r="NKC18" s="228"/>
      <c r="NKD18" s="228"/>
      <c r="NKE18" s="226"/>
      <c r="NKF18" s="226"/>
      <c r="NKG18" s="224"/>
      <c r="NKH18" s="225"/>
      <c r="NKI18" s="226"/>
      <c r="NKJ18" s="227"/>
      <c r="NKK18" s="228"/>
      <c r="NKL18" s="228"/>
      <c r="NKM18" s="228"/>
      <c r="NKN18" s="228"/>
      <c r="NKO18" s="228"/>
      <c r="NKP18" s="228"/>
      <c r="NKQ18" s="226"/>
      <c r="NKR18" s="226"/>
      <c r="NKS18" s="224"/>
      <c r="NKT18" s="225"/>
      <c r="NKU18" s="226"/>
      <c r="NKV18" s="227"/>
      <c r="NKW18" s="228"/>
      <c r="NKX18" s="228"/>
      <c r="NKY18" s="228"/>
      <c r="NKZ18" s="228"/>
      <c r="NLA18" s="228"/>
      <c r="NLB18" s="228"/>
      <c r="NLC18" s="226"/>
      <c r="NLD18" s="226"/>
      <c r="NLE18" s="224"/>
      <c r="NLF18" s="225"/>
      <c r="NLG18" s="226"/>
      <c r="NLH18" s="227"/>
      <c r="NLI18" s="228"/>
      <c r="NLJ18" s="228"/>
      <c r="NLK18" s="228"/>
      <c r="NLL18" s="228"/>
      <c r="NLM18" s="228"/>
      <c r="NLN18" s="228"/>
      <c r="NLO18" s="226"/>
      <c r="NLP18" s="226"/>
      <c r="NLQ18" s="224"/>
      <c r="NLR18" s="225"/>
      <c r="NLS18" s="226"/>
      <c r="NLT18" s="227"/>
      <c r="NLU18" s="228"/>
      <c r="NLV18" s="228"/>
      <c r="NLW18" s="228"/>
      <c r="NLX18" s="228"/>
      <c r="NLY18" s="228"/>
      <c r="NLZ18" s="228"/>
      <c r="NMA18" s="226"/>
      <c r="NMB18" s="226"/>
      <c r="NMC18" s="224"/>
      <c r="NMD18" s="225"/>
      <c r="NME18" s="226"/>
      <c r="NMF18" s="227"/>
      <c r="NMG18" s="228"/>
      <c r="NMH18" s="228"/>
      <c r="NMI18" s="228"/>
      <c r="NMJ18" s="228"/>
      <c r="NMK18" s="228"/>
      <c r="NML18" s="228"/>
      <c r="NMM18" s="226"/>
      <c r="NMN18" s="226"/>
      <c r="NMO18" s="224"/>
      <c r="NMP18" s="225"/>
      <c r="NMQ18" s="226"/>
      <c r="NMR18" s="227"/>
      <c r="NMS18" s="228"/>
      <c r="NMT18" s="228"/>
      <c r="NMU18" s="228"/>
      <c r="NMV18" s="228"/>
      <c r="NMW18" s="228"/>
      <c r="NMX18" s="228"/>
      <c r="NMY18" s="226"/>
      <c r="NMZ18" s="226"/>
      <c r="NNA18" s="224"/>
      <c r="NNB18" s="225"/>
      <c r="NNC18" s="226"/>
      <c r="NND18" s="227"/>
      <c r="NNE18" s="228"/>
      <c r="NNF18" s="228"/>
      <c r="NNG18" s="228"/>
      <c r="NNH18" s="228"/>
      <c r="NNI18" s="228"/>
      <c r="NNJ18" s="228"/>
      <c r="NNK18" s="226"/>
      <c r="NNL18" s="226"/>
      <c r="NNM18" s="224"/>
      <c r="NNN18" s="225"/>
      <c r="NNO18" s="226"/>
      <c r="NNP18" s="227"/>
      <c r="NNQ18" s="228"/>
      <c r="NNR18" s="228"/>
      <c r="NNS18" s="228"/>
      <c r="NNT18" s="228"/>
      <c r="NNU18" s="228"/>
      <c r="NNV18" s="228"/>
      <c r="NNW18" s="226"/>
      <c r="NNX18" s="226"/>
      <c r="NNY18" s="224"/>
      <c r="NNZ18" s="225"/>
      <c r="NOA18" s="226"/>
      <c r="NOB18" s="227"/>
      <c r="NOC18" s="228"/>
      <c r="NOD18" s="228"/>
      <c r="NOE18" s="228"/>
      <c r="NOF18" s="228"/>
      <c r="NOG18" s="228"/>
      <c r="NOH18" s="228"/>
      <c r="NOI18" s="226"/>
      <c r="NOJ18" s="226"/>
      <c r="NOK18" s="224"/>
      <c r="NOL18" s="225"/>
      <c r="NOM18" s="226"/>
      <c r="NON18" s="227"/>
      <c r="NOO18" s="228"/>
      <c r="NOP18" s="228"/>
      <c r="NOQ18" s="228"/>
      <c r="NOR18" s="228"/>
      <c r="NOS18" s="228"/>
      <c r="NOT18" s="228"/>
      <c r="NOU18" s="226"/>
      <c r="NOV18" s="226"/>
      <c r="NOW18" s="224"/>
      <c r="NOX18" s="225"/>
      <c r="NOY18" s="226"/>
      <c r="NOZ18" s="227"/>
      <c r="NPA18" s="228"/>
      <c r="NPB18" s="228"/>
      <c r="NPC18" s="228"/>
      <c r="NPD18" s="228"/>
      <c r="NPE18" s="228"/>
      <c r="NPF18" s="228"/>
      <c r="NPG18" s="226"/>
      <c r="NPH18" s="226"/>
      <c r="NPI18" s="224"/>
      <c r="NPJ18" s="225"/>
      <c r="NPK18" s="226"/>
      <c r="NPL18" s="227"/>
      <c r="NPM18" s="228"/>
      <c r="NPN18" s="228"/>
      <c r="NPO18" s="228"/>
      <c r="NPP18" s="228"/>
      <c r="NPQ18" s="228"/>
      <c r="NPR18" s="228"/>
      <c r="NPS18" s="226"/>
      <c r="NPT18" s="226"/>
      <c r="NPU18" s="224"/>
      <c r="NPV18" s="225"/>
      <c r="NPW18" s="226"/>
      <c r="NPX18" s="227"/>
      <c r="NPY18" s="228"/>
      <c r="NPZ18" s="228"/>
      <c r="NQA18" s="228"/>
      <c r="NQB18" s="228"/>
      <c r="NQC18" s="228"/>
      <c r="NQD18" s="228"/>
      <c r="NQE18" s="226"/>
      <c r="NQF18" s="226"/>
      <c r="NQG18" s="224"/>
      <c r="NQH18" s="225"/>
      <c r="NQI18" s="226"/>
      <c r="NQJ18" s="227"/>
      <c r="NQK18" s="228"/>
      <c r="NQL18" s="228"/>
      <c r="NQM18" s="228"/>
      <c r="NQN18" s="228"/>
      <c r="NQO18" s="228"/>
      <c r="NQP18" s="228"/>
      <c r="NQQ18" s="226"/>
      <c r="NQR18" s="226"/>
      <c r="NQS18" s="224"/>
      <c r="NQT18" s="225"/>
      <c r="NQU18" s="226"/>
      <c r="NQV18" s="227"/>
      <c r="NQW18" s="228"/>
      <c r="NQX18" s="228"/>
      <c r="NQY18" s="228"/>
      <c r="NQZ18" s="228"/>
      <c r="NRA18" s="228"/>
      <c r="NRB18" s="228"/>
      <c r="NRC18" s="226"/>
      <c r="NRD18" s="226"/>
      <c r="NRE18" s="224"/>
      <c r="NRF18" s="225"/>
      <c r="NRG18" s="226"/>
      <c r="NRH18" s="227"/>
      <c r="NRI18" s="228"/>
      <c r="NRJ18" s="228"/>
      <c r="NRK18" s="228"/>
      <c r="NRL18" s="228"/>
      <c r="NRM18" s="228"/>
      <c r="NRN18" s="228"/>
      <c r="NRO18" s="226"/>
      <c r="NRP18" s="226"/>
      <c r="NRQ18" s="224"/>
      <c r="NRR18" s="225"/>
      <c r="NRS18" s="226"/>
      <c r="NRT18" s="227"/>
      <c r="NRU18" s="228"/>
      <c r="NRV18" s="228"/>
      <c r="NRW18" s="228"/>
      <c r="NRX18" s="228"/>
      <c r="NRY18" s="228"/>
      <c r="NRZ18" s="228"/>
      <c r="NSA18" s="226"/>
      <c r="NSB18" s="226"/>
      <c r="NSC18" s="224"/>
      <c r="NSD18" s="225"/>
      <c r="NSE18" s="226"/>
      <c r="NSF18" s="227"/>
      <c r="NSG18" s="228"/>
      <c r="NSH18" s="228"/>
      <c r="NSI18" s="228"/>
      <c r="NSJ18" s="228"/>
      <c r="NSK18" s="228"/>
      <c r="NSL18" s="228"/>
      <c r="NSM18" s="226"/>
      <c r="NSN18" s="226"/>
      <c r="NSO18" s="224"/>
      <c r="NSP18" s="225"/>
      <c r="NSQ18" s="226"/>
      <c r="NSR18" s="227"/>
      <c r="NSS18" s="228"/>
      <c r="NST18" s="228"/>
      <c r="NSU18" s="228"/>
      <c r="NSV18" s="228"/>
      <c r="NSW18" s="228"/>
      <c r="NSX18" s="228"/>
      <c r="NSY18" s="226"/>
      <c r="NSZ18" s="226"/>
      <c r="NTA18" s="224"/>
      <c r="NTB18" s="225"/>
      <c r="NTC18" s="226"/>
      <c r="NTD18" s="227"/>
      <c r="NTE18" s="228"/>
      <c r="NTF18" s="228"/>
      <c r="NTG18" s="228"/>
      <c r="NTH18" s="228"/>
      <c r="NTI18" s="228"/>
      <c r="NTJ18" s="228"/>
      <c r="NTK18" s="226"/>
      <c r="NTL18" s="226"/>
      <c r="NTM18" s="224"/>
      <c r="NTN18" s="225"/>
      <c r="NTO18" s="226"/>
      <c r="NTP18" s="227"/>
      <c r="NTQ18" s="228"/>
      <c r="NTR18" s="228"/>
      <c r="NTS18" s="228"/>
      <c r="NTT18" s="228"/>
      <c r="NTU18" s="228"/>
      <c r="NTV18" s="228"/>
      <c r="NTW18" s="226"/>
      <c r="NTX18" s="226"/>
      <c r="NTY18" s="224"/>
      <c r="NTZ18" s="225"/>
      <c r="NUA18" s="226"/>
      <c r="NUB18" s="227"/>
      <c r="NUC18" s="228"/>
      <c r="NUD18" s="228"/>
      <c r="NUE18" s="228"/>
      <c r="NUF18" s="228"/>
      <c r="NUG18" s="228"/>
      <c r="NUH18" s="228"/>
      <c r="NUI18" s="226"/>
      <c r="NUJ18" s="226"/>
      <c r="NUK18" s="224"/>
      <c r="NUL18" s="225"/>
      <c r="NUM18" s="226"/>
      <c r="NUN18" s="227"/>
      <c r="NUO18" s="228"/>
      <c r="NUP18" s="228"/>
      <c r="NUQ18" s="228"/>
      <c r="NUR18" s="228"/>
      <c r="NUS18" s="228"/>
      <c r="NUT18" s="228"/>
      <c r="NUU18" s="226"/>
      <c r="NUV18" s="226"/>
      <c r="NUW18" s="224"/>
      <c r="NUX18" s="225"/>
      <c r="NUY18" s="226"/>
      <c r="NUZ18" s="227"/>
      <c r="NVA18" s="228"/>
      <c r="NVB18" s="228"/>
      <c r="NVC18" s="228"/>
      <c r="NVD18" s="228"/>
      <c r="NVE18" s="228"/>
      <c r="NVF18" s="228"/>
      <c r="NVG18" s="226"/>
      <c r="NVH18" s="226"/>
      <c r="NVI18" s="224"/>
      <c r="NVJ18" s="225"/>
      <c r="NVK18" s="226"/>
      <c r="NVL18" s="227"/>
      <c r="NVM18" s="228"/>
      <c r="NVN18" s="228"/>
      <c r="NVO18" s="228"/>
      <c r="NVP18" s="228"/>
      <c r="NVQ18" s="228"/>
      <c r="NVR18" s="228"/>
      <c r="NVS18" s="226"/>
      <c r="NVT18" s="226"/>
      <c r="NVU18" s="224"/>
      <c r="NVV18" s="225"/>
      <c r="NVW18" s="226"/>
      <c r="NVX18" s="227"/>
      <c r="NVY18" s="228"/>
      <c r="NVZ18" s="228"/>
      <c r="NWA18" s="228"/>
      <c r="NWB18" s="228"/>
      <c r="NWC18" s="228"/>
      <c r="NWD18" s="228"/>
      <c r="NWE18" s="226"/>
      <c r="NWF18" s="226"/>
      <c r="NWG18" s="224"/>
      <c r="NWH18" s="225"/>
      <c r="NWI18" s="226"/>
      <c r="NWJ18" s="227"/>
      <c r="NWK18" s="228"/>
      <c r="NWL18" s="228"/>
      <c r="NWM18" s="228"/>
      <c r="NWN18" s="228"/>
      <c r="NWO18" s="228"/>
      <c r="NWP18" s="228"/>
      <c r="NWQ18" s="226"/>
      <c r="NWR18" s="226"/>
      <c r="NWS18" s="224"/>
      <c r="NWT18" s="225"/>
      <c r="NWU18" s="226"/>
      <c r="NWV18" s="227"/>
      <c r="NWW18" s="228"/>
      <c r="NWX18" s="228"/>
      <c r="NWY18" s="228"/>
      <c r="NWZ18" s="228"/>
      <c r="NXA18" s="228"/>
      <c r="NXB18" s="228"/>
      <c r="NXC18" s="226"/>
      <c r="NXD18" s="226"/>
      <c r="NXE18" s="224"/>
      <c r="NXF18" s="225"/>
      <c r="NXG18" s="226"/>
      <c r="NXH18" s="227"/>
      <c r="NXI18" s="228"/>
      <c r="NXJ18" s="228"/>
      <c r="NXK18" s="228"/>
      <c r="NXL18" s="228"/>
      <c r="NXM18" s="228"/>
      <c r="NXN18" s="228"/>
      <c r="NXO18" s="226"/>
      <c r="NXP18" s="226"/>
      <c r="NXQ18" s="224"/>
      <c r="NXR18" s="225"/>
      <c r="NXS18" s="226"/>
      <c r="NXT18" s="227"/>
      <c r="NXU18" s="228"/>
      <c r="NXV18" s="228"/>
      <c r="NXW18" s="228"/>
      <c r="NXX18" s="228"/>
      <c r="NXY18" s="228"/>
      <c r="NXZ18" s="228"/>
      <c r="NYA18" s="226"/>
      <c r="NYB18" s="226"/>
      <c r="NYC18" s="224"/>
      <c r="NYD18" s="225"/>
      <c r="NYE18" s="226"/>
      <c r="NYF18" s="227"/>
      <c r="NYG18" s="228"/>
      <c r="NYH18" s="228"/>
      <c r="NYI18" s="228"/>
      <c r="NYJ18" s="228"/>
      <c r="NYK18" s="228"/>
      <c r="NYL18" s="228"/>
      <c r="NYM18" s="226"/>
      <c r="NYN18" s="226"/>
      <c r="NYO18" s="224"/>
      <c r="NYP18" s="225"/>
      <c r="NYQ18" s="226"/>
      <c r="NYR18" s="227"/>
      <c r="NYS18" s="228"/>
      <c r="NYT18" s="228"/>
      <c r="NYU18" s="228"/>
      <c r="NYV18" s="228"/>
      <c r="NYW18" s="228"/>
      <c r="NYX18" s="228"/>
      <c r="NYY18" s="226"/>
      <c r="NYZ18" s="226"/>
      <c r="NZA18" s="224"/>
      <c r="NZB18" s="225"/>
      <c r="NZC18" s="226"/>
      <c r="NZD18" s="227"/>
      <c r="NZE18" s="228"/>
      <c r="NZF18" s="228"/>
      <c r="NZG18" s="228"/>
      <c r="NZH18" s="228"/>
      <c r="NZI18" s="228"/>
      <c r="NZJ18" s="228"/>
      <c r="NZK18" s="226"/>
      <c r="NZL18" s="226"/>
      <c r="NZM18" s="224"/>
      <c r="NZN18" s="225"/>
      <c r="NZO18" s="226"/>
      <c r="NZP18" s="227"/>
      <c r="NZQ18" s="228"/>
      <c r="NZR18" s="228"/>
      <c r="NZS18" s="228"/>
      <c r="NZT18" s="228"/>
      <c r="NZU18" s="228"/>
      <c r="NZV18" s="228"/>
      <c r="NZW18" s="226"/>
      <c r="NZX18" s="226"/>
      <c r="NZY18" s="224"/>
      <c r="NZZ18" s="225"/>
      <c r="OAA18" s="226"/>
      <c r="OAB18" s="227"/>
      <c r="OAC18" s="228"/>
      <c r="OAD18" s="228"/>
      <c r="OAE18" s="228"/>
      <c r="OAF18" s="228"/>
      <c r="OAG18" s="228"/>
      <c r="OAH18" s="228"/>
      <c r="OAI18" s="226"/>
      <c r="OAJ18" s="226"/>
      <c r="OAK18" s="224"/>
      <c r="OAL18" s="225"/>
      <c r="OAM18" s="226"/>
      <c r="OAN18" s="227"/>
      <c r="OAO18" s="228"/>
      <c r="OAP18" s="228"/>
      <c r="OAQ18" s="228"/>
      <c r="OAR18" s="228"/>
      <c r="OAS18" s="228"/>
      <c r="OAT18" s="228"/>
      <c r="OAU18" s="226"/>
      <c r="OAV18" s="226"/>
      <c r="OAW18" s="224"/>
      <c r="OAX18" s="225"/>
      <c r="OAY18" s="226"/>
      <c r="OAZ18" s="227"/>
      <c r="OBA18" s="228"/>
      <c r="OBB18" s="228"/>
      <c r="OBC18" s="228"/>
      <c r="OBD18" s="228"/>
      <c r="OBE18" s="228"/>
      <c r="OBF18" s="228"/>
      <c r="OBG18" s="226"/>
      <c r="OBH18" s="226"/>
      <c r="OBI18" s="224"/>
      <c r="OBJ18" s="225"/>
      <c r="OBK18" s="226"/>
      <c r="OBL18" s="227"/>
      <c r="OBM18" s="228"/>
      <c r="OBN18" s="228"/>
      <c r="OBO18" s="228"/>
      <c r="OBP18" s="228"/>
      <c r="OBQ18" s="228"/>
      <c r="OBR18" s="228"/>
      <c r="OBS18" s="226"/>
      <c r="OBT18" s="226"/>
      <c r="OBU18" s="224"/>
      <c r="OBV18" s="225"/>
      <c r="OBW18" s="226"/>
      <c r="OBX18" s="227"/>
      <c r="OBY18" s="228"/>
      <c r="OBZ18" s="228"/>
      <c r="OCA18" s="228"/>
      <c r="OCB18" s="228"/>
      <c r="OCC18" s="228"/>
      <c r="OCD18" s="228"/>
      <c r="OCE18" s="226"/>
      <c r="OCF18" s="226"/>
      <c r="OCG18" s="224"/>
      <c r="OCH18" s="225"/>
      <c r="OCI18" s="226"/>
      <c r="OCJ18" s="227"/>
      <c r="OCK18" s="228"/>
      <c r="OCL18" s="228"/>
      <c r="OCM18" s="228"/>
      <c r="OCN18" s="228"/>
      <c r="OCO18" s="228"/>
      <c r="OCP18" s="228"/>
      <c r="OCQ18" s="226"/>
      <c r="OCR18" s="226"/>
      <c r="OCS18" s="224"/>
      <c r="OCT18" s="225"/>
      <c r="OCU18" s="226"/>
      <c r="OCV18" s="227"/>
      <c r="OCW18" s="228"/>
      <c r="OCX18" s="228"/>
      <c r="OCY18" s="228"/>
      <c r="OCZ18" s="228"/>
      <c r="ODA18" s="228"/>
      <c r="ODB18" s="228"/>
      <c r="ODC18" s="226"/>
      <c r="ODD18" s="226"/>
      <c r="ODE18" s="224"/>
      <c r="ODF18" s="225"/>
      <c r="ODG18" s="226"/>
      <c r="ODH18" s="227"/>
      <c r="ODI18" s="228"/>
      <c r="ODJ18" s="228"/>
      <c r="ODK18" s="228"/>
      <c r="ODL18" s="228"/>
      <c r="ODM18" s="228"/>
      <c r="ODN18" s="228"/>
      <c r="ODO18" s="226"/>
      <c r="ODP18" s="226"/>
      <c r="ODQ18" s="224"/>
      <c r="ODR18" s="225"/>
      <c r="ODS18" s="226"/>
      <c r="ODT18" s="227"/>
      <c r="ODU18" s="228"/>
      <c r="ODV18" s="228"/>
      <c r="ODW18" s="228"/>
      <c r="ODX18" s="228"/>
      <c r="ODY18" s="228"/>
      <c r="ODZ18" s="228"/>
      <c r="OEA18" s="226"/>
      <c r="OEB18" s="226"/>
      <c r="OEC18" s="224"/>
      <c r="OED18" s="225"/>
      <c r="OEE18" s="226"/>
      <c r="OEF18" s="227"/>
      <c r="OEG18" s="228"/>
      <c r="OEH18" s="228"/>
      <c r="OEI18" s="228"/>
      <c r="OEJ18" s="228"/>
      <c r="OEK18" s="228"/>
      <c r="OEL18" s="228"/>
      <c r="OEM18" s="226"/>
      <c r="OEN18" s="226"/>
      <c r="OEO18" s="224"/>
      <c r="OEP18" s="225"/>
      <c r="OEQ18" s="226"/>
      <c r="OER18" s="227"/>
      <c r="OES18" s="228"/>
      <c r="OET18" s="228"/>
      <c r="OEU18" s="228"/>
      <c r="OEV18" s="228"/>
      <c r="OEW18" s="228"/>
      <c r="OEX18" s="228"/>
      <c r="OEY18" s="226"/>
      <c r="OEZ18" s="226"/>
      <c r="OFA18" s="224"/>
      <c r="OFB18" s="225"/>
      <c r="OFC18" s="226"/>
      <c r="OFD18" s="227"/>
      <c r="OFE18" s="228"/>
      <c r="OFF18" s="228"/>
      <c r="OFG18" s="228"/>
      <c r="OFH18" s="228"/>
      <c r="OFI18" s="228"/>
      <c r="OFJ18" s="228"/>
      <c r="OFK18" s="226"/>
      <c r="OFL18" s="226"/>
      <c r="OFM18" s="224"/>
      <c r="OFN18" s="225"/>
      <c r="OFO18" s="226"/>
      <c r="OFP18" s="227"/>
      <c r="OFQ18" s="228"/>
      <c r="OFR18" s="228"/>
      <c r="OFS18" s="228"/>
      <c r="OFT18" s="228"/>
      <c r="OFU18" s="228"/>
      <c r="OFV18" s="228"/>
      <c r="OFW18" s="226"/>
      <c r="OFX18" s="226"/>
      <c r="OFY18" s="224"/>
      <c r="OFZ18" s="225"/>
      <c r="OGA18" s="226"/>
      <c r="OGB18" s="227"/>
      <c r="OGC18" s="228"/>
      <c r="OGD18" s="228"/>
      <c r="OGE18" s="228"/>
      <c r="OGF18" s="228"/>
      <c r="OGG18" s="228"/>
      <c r="OGH18" s="228"/>
      <c r="OGI18" s="226"/>
      <c r="OGJ18" s="226"/>
      <c r="OGK18" s="224"/>
      <c r="OGL18" s="225"/>
      <c r="OGM18" s="226"/>
      <c r="OGN18" s="227"/>
      <c r="OGO18" s="228"/>
      <c r="OGP18" s="228"/>
      <c r="OGQ18" s="228"/>
      <c r="OGR18" s="228"/>
      <c r="OGS18" s="228"/>
      <c r="OGT18" s="228"/>
      <c r="OGU18" s="226"/>
      <c r="OGV18" s="226"/>
      <c r="OGW18" s="224"/>
      <c r="OGX18" s="225"/>
      <c r="OGY18" s="226"/>
      <c r="OGZ18" s="227"/>
      <c r="OHA18" s="228"/>
      <c r="OHB18" s="228"/>
      <c r="OHC18" s="228"/>
      <c r="OHD18" s="228"/>
      <c r="OHE18" s="228"/>
      <c r="OHF18" s="228"/>
      <c r="OHG18" s="226"/>
      <c r="OHH18" s="226"/>
      <c r="OHI18" s="224"/>
      <c r="OHJ18" s="225"/>
      <c r="OHK18" s="226"/>
      <c r="OHL18" s="227"/>
      <c r="OHM18" s="228"/>
      <c r="OHN18" s="228"/>
      <c r="OHO18" s="228"/>
      <c r="OHP18" s="228"/>
      <c r="OHQ18" s="228"/>
      <c r="OHR18" s="228"/>
      <c r="OHS18" s="226"/>
      <c r="OHT18" s="226"/>
      <c r="OHU18" s="224"/>
      <c r="OHV18" s="225"/>
      <c r="OHW18" s="226"/>
      <c r="OHX18" s="227"/>
      <c r="OHY18" s="228"/>
      <c r="OHZ18" s="228"/>
      <c r="OIA18" s="228"/>
      <c r="OIB18" s="228"/>
      <c r="OIC18" s="228"/>
      <c r="OID18" s="228"/>
      <c r="OIE18" s="226"/>
      <c r="OIF18" s="226"/>
      <c r="OIG18" s="224"/>
      <c r="OIH18" s="225"/>
      <c r="OII18" s="226"/>
      <c r="OIJ18" s="227"/>
      <c r="OIK18" s="228"/>
      <c r="OIL18" s="228"/>
      <c r="OIM18" s="228"/>
      <c r="OIN18" s="228"/>
      <c r="OIO18" s="228"/>
      <c r="OIP18" s="228"/>
      <c r="OIQ18" s="226"/>
      <c r="OIR18" s="226"/>
      <c r="OIS18" s="224"/>
      <c r="OIT18" s="225"/>
      <c r="OIU18" s="226"/>
      <c r="OIV18" s="227"/>
      <c r="OIW18" s="228"/>
      <c r="OIX18" s="228"/>
      <c r="OIY18" s="228"/>
      <c r="OIZ18" s="228"/>
      <c r="OJA18" s="228"/>
      <c r="OJB18" s="228"/>
      <c r="OJC18" s="226"/>
      <c r="OJD18" s="226"/>
      <c r="OJE18" s="224"/>
      <c r="OJF18" s="225"/>
      <c r="OJG18" s="226"/>
      <c r="OJH18" s="227"/>
      <c r="OJI18" s="228"/>
      <c r="OJJ18" s="228"/>
      <c r="OJK18" s="228"/>
      <c r="OJL18" s="228"/>
      <c r="OJM18" s="228"/>
      <c r="OJN18" s="228"/>
      <c r="OJO18" s="226"/>
      <c r="OJP18" s="226"/>
      <c r="OJQ18" s="224"/>
      <c r="OJR18" s="225"/>
      <c r="OJS18" s="226"/>
      <c r="OJT18" s="227"/>
      <c r="OJU18" s="228"/>
      <c r="OJV18" s="228"/>
      <c r="OJW18" s="228"/>
      <c r="OJX18" s="228"/>
      <c r="OJY18" s="228"/>
      <c r="OJZ18" s="228"/>
      <c r="OKA18" s="226"/>
      <c r="OKB18" s="226"/>
      <c r="OKC18" s="224"/>
      <c r="OKD18" s="225"/>
      <c r="OKE18" s="226"/>
      <c r="OKF18" s="227"/>
      <c r="OKG18" s="228"/>
      <c r="OKH18" s="228"/>
      <c r="OKI18" s="228"/>
      <c r="OKJ18" s="228"/>
      <c r="OKK18" s="228"/>
      <c r="OKL18" s="228"/>
      <c r="OKM18" s="226"/>
      <c r="OKN18" s="226"/>
      <c r="OKO18" s="224"/>
      <c r="OKP18" s="225"/>
      <c r="OKQ18" s="226"/>
      <c r="OKR18" s="227"/>
      <c r="OKS18" s="228"/>
      <c r="OKT18" s="228"/>
      <c r="OKU18" s="228"/>
      <c r="OKV18" s="228"/>
      <c r="OKW18" s="228"/>
      <c r="OKX18" s="228"/>
      <c r="OKY18" s="226"/>
      <c r="OKZ18" s="226"/>
      <c r="OLA18" s="224"/>
      <c r="OLB18" s="225"/>
      <c r="OLC18" s="226"/>
      <c r="OLD18" s="227"/>
      <c r="OLE18" s="228"/>
      <c r="OLF18" s="228"/>
      <c r="OLG18" s="228"/>
      <c r="OLH18" s="228"/>
      <c r="OLI18" s="228"/>
      <c r="OLJ18" s="228"/>
      <c r="OLK18" s="226"/>
      <c r="OLL18" s="226"/>
      <c r="OLM18" s="224"/>
      <c r="OLN18" s="225"/>
      <c r="OLO18" s="226"/>
      <c r="OLP18" s="227"/>
      <c r="OLQ18" s="228"/>
      <c r="OLR18" s="228"/>
      <c r="OLS18" s="228"/>
      <c r="OLT18" s="228"/>
      <c r="OLU18" s="228"/>
      <c r="OLV18" s="228"/>
      <c r="OLW18" s="226"/>
      <c r="OLX18" s="226"/>
      <c r="OLY18" s="224"/>
      <c r="OLZ18" s="225"/>
      <c r="OMA18" s="226"/>
      <c r="OMB18" s="227"/>
      <c r="OMC18" s="228"/>
      <c r="OMD18" s="228"/>
      <c r="OME18" s="228"/>
      <c r="OMF18" s="228"/>
      <c r="OMG18" s="228"/>
      <c r="OMH18" s="228"/>
      <c r="OMI18" s="226"/>
      <c r="OMJ18" s="226"/>
      <c r="OMK18" s="224"/>
      <c r="OML18" s="225"/>
      <c r="OMM18" s="226"/>
      <c r="OMN18" s="227"/>
      <c r="OMO18" s="228"/>
      <c r="OMP18" s="228"/>
      <c r="OMQ18" s="228"/>
      <c r="OMR18" s="228"/>
      <c r="OMS18" s="228"/>
      <c r="OMT18" s="228"/>
      <c r="OMU18" s="226"/>
      <c r="OMV18" s="226"/>
      <c r="OMW18" s="224"/>
      <c r="OMX18" s="225"/>
      <c r="OMY18" s="226"/>
      <c r="OMZ18" s="227"/>
      <c r="ONA18" s="228"/>
      <c r="ONB18" s="228"/>
      <c r="ONC18" s="228"/>
      <c r="OND18" s="228"/>
      <c r="ONE18" s="228"/>
      <c r="ONF18" s="228"/>
      <c r="ONG18" s="226"/>
      <c r="ONH18" s="226"/>
      <c r="ONI18" s="224"/>
      <c r="ONJ18" s="225"/>
      <c r="ONK18" s="226"/>
      <c r="ONL18" s="227"/>
      <c r="ONM18" s="228"/>
      <c r="ONN18" s="228"/>
      <c r="ONO18" s="228"/>
      <c r="ONP18" s="228"/>
      <c r="ONQ18" s="228"/>
      <c r="ONR18" s="228"/>
      <c r="ONS18" s="226"/>
      <c r="ONT18" s="226"/>
      <c r="ONU18" s="224"/>
      <c r="ONV18" s="225"/>
      <c r="ONW18" s="226"/>
      <c r="ONX18" s="227"/>
      <c r="ONY18" s="228"/>
      <c r="ONZ18" s="228"/>
      <c r="OOA18" s="228"/>
      <c r="OOB18" s="228"/>
      <c r="OOC18" s="228"/>
      <c r="OOD18" s="228"/>
      <c r="OOE18" s="226"/>
      <c r="OOF18" s="226"/>
      <c r="OOG18" s="224"/>
      <c r="OOH18" s="225"/>
      <c r="OOI18" s="226"/>
      <c r="OOJ18" s="227"/>
      <c r="OOK18" s="228"/>
      <c r="OOL18" s="228"/>
      <c r="OOM18" s="228"/>
      <c r="OON18" s="228"/>
      <c r="OOO18" s="228"/>
      <c r="OOP18" s="228"/>
      <c r="OOQ18" s="226"/>
      <c r="OOR18" s="226"/>
      <c r="OOS18" s="224"/>
      <c r="OOT18" s="225"/>
      <c r="OOU18" s="226"/>
      <c r="OOV18" s="227"/>
      <c r="OOW18" s="228"/>
      <c r="OOX18" s="228"/>
      <c r="OOY18" s="228"/>
      <c r="OOZ18" s="228"/>
      <c r="OPA18" s="228"/>
      <c r="OPB18" s="228"/>
      <c r="OPC18" s="226"/>
      <c r="OPD18" s="226"/>
      <c r="OPE18" s="224"/>
      <c r="OPF18" s="225"/>
      <c r="OPG18" s="226"/>
      <c r="OPH18" s="227"/>
      <c r="OPI18" s="228"/>
      <c r="OPJ18" s="228"/>
      <c r="OPK18" s="228"/>
      <c r="OPL18" s="228"/>
      <c r="OPM18" s="228"/>
      <c r="OPN18" s="228"/>
      <c r="OPO18" s="226"/>
      <c r="OPP18" s="226"/>
      <c r="OPQ18" s="224"/>
      <c r="OPR18" s="225"/>
      <c r="OPS18" s="226"/>
      <c r="OPT18" s="227"/>
      <c r="OPU18" s="228"/>
      <c r="OPV18" s="228"/>
      <c r="OPW18" s="228"/>
      <c r="OPX18" s="228"/>
      <c r="OPY18" s="228"/>
      <c r="OPZ18" s="228"/>
      <c r="OQA18" s="226"/>
      <c r="OQB18" s="226"/>
      <c r="OQC18" s="224"/>
      <c r="OQD18" s="225"/>
      <c r="OQE18" s="226"/>
      <c r="OQF18" s="227"/>
      <c r="OQG18" s="228"/>
      <c r="OQH18" s="228"/>
      <c r="OQI18" s="228"/>
      <c r="OQJ18" s="228"/>
      <c r="OQK18" s="228"/>
      <c r="OQL18" s="228"/>
      <c r="OQM18" s="226"/>
      <c r="OQN18" s="226"/>
      <c r="OQO18" s="224"/>
      <c r="OQP18" s="225"/>
      <c r="OQQ18" s="226"/>
      <c r="OQR18" s="227"/>
      <c r="OQS18" s="228"/>
      <c r="OQT18" s="228"/>
      <c r="OQU18" s="228"/>
      <c r="OQV18" s="228"/>
      <c r="OQW18" s="228"/>
      <c r="OQX18" s="228"/>
      <c r="OQY18" s="226"/>
      <c r="OQZ18" s="226"/>
      <c r="ORA18" s="224"/>
      <c r="ORB18" s="225"/>
      <c r="ORC18" s="226"/>
      <c r="ORD18" s="227"/>
      <c r="ORE18" s="228"/>
      <c r="ORF18" s="228"/>
      <c r="ORG18" s="228"/>
      <c r="ORH18" s="228"/>
      <c r="ORI18" s="228"/>
      <c r="ORJ18" s="228"/>
      <c r="ORK18" s="226"/>
      <c r="ORL18" s="226"/>
      <c r="ORM18" s="224"/>
      <c r="ORN18" s="225"/>
      <c r="ORO18" s="226"/>
      <c r="ORP18" s="227"/>
      <c r="ORQ18" s="228"/>
      <c r="ORR18" s="228"/>
      <c r="ORS18" s="228"/>
      <c r="ORT18" s="228"/>
      <c r="ORU18" s="228"/>
      <c r="ORV18" s="228"/>
      <c r="ORW18" s="226"/>
      <c r="ORX18" s="226"/>
      <c r="ORY18" s="224"/>
      <c r="ORZ18" s="225"/>
      <c r="OSA18" s="226"/>
      <c r="OSB18" s="227"/>
      <c r="OSC18" s="228"/>
      <c r="OSD18" s="228"/>
      <c r="OSE18" s="228"/>
      <c r="OSF18" s="228"/>
      <c r="OSG18" s="228"/>
      <c r="OSH18" s="228"/>
      <c r="OSI18" s="226"/>
      <c r="OSJ18" s="226"/>
      <c r="OSK18" s="224"/>
      <c r="OSL18" s="225"/>
      <c r="OSM18" s="226"/>
      <c r="OSN18" s="227"/>
      <c r="OSO18" s="228"/>
      <c r="OSP18" s="228"/>
      <c r="OSQ18" s="228"/>
      <c r="OSR18" s="228"/>
      <c r="OSS18" s="228"/>
      <c r="OST18" s="228"/>
      <c r="OSU18" s="226"/>
      <c r="OSV18" s="226"/>
      <c r="OSW18" s="224"/>
      <c r="OSX18" s="225"/>
      <c r="OSY18" s="226"/>
      <c r="OSZ18" s="227"/>
      <c r="OTA18" s="228"/>
      <c r="OTB18" s="228"/>
      <c r="OTC18" s="228"/>
      <c r="OTD18" s="228"/>
      <c r="OTE18" s="228"/>
      <c r="OTF18" s="228"/>
      <c r="OTG18" s="226"/>
      <c r="OTH18" s="226"/>
      <c r="OTI18" s="224"/>
      <c r="OTJ18" s="225"/>
      <c r="OTK18" s="226"/>
      <c r="OTL18" s="227"/>
      <c r="OTM18" s="228"/>
      <c r="OTN18" s="228"/>
      <c r="OTO18" s="228"/>
      <c r="OTP18" s="228"/>
      <c r="OTQ18" s="228"/>
      <c r="OTR18" s="228"/>
      <c r="OTS18" s="226"/>
      <c r="OTT18" s="226"/>
      <c r="OTU18" s="224"/>
      <c r="OTV18" s="225"/>
      <c r="OTW18" s="226"/>
      <c r="OTX18" s="227"/>
      <c r="OTY18" s="228"/>
      <c r="OTZ18" s="228"/>
      <c r="OUA18" s="228"/>
      <c r="OUB18" s="228"/>
      <c r="OUC18" s="228"/>
      <c r="OUD18" s="228"/>
      <c r="OUE18" s="226"/>
      <c r="OUF18" s="226"/>
      <c r="OUG18" s="224"/>
      <c r="OUH18" s="225"/>
      <c r="OUI18" s="226"/>
      <c r="OUJ18" s="227"/>
      <c r="OUK18" s="228"/>
      <c r="OUL18" s="228"/>
      <c r="OUM18" s="228"/>
      <c r="OUN18" s="228"/>
      <c r="OUO18" s="228"/>
      <c r="OUP18" s="228"/>
      <c r="OUQ18" s="226"/>
      <c r="OUR18" s="226"/>
      <c r="OUS18" s="224"/>
      <c r="OUT18" s="225"/>
      <c r="OUU18" s="226"/>
      <c r="OUV18" s="227"/>
      <c r="OUW18" s="228"/>
      <c r="OUX18" s="228"/>
      <c r="OUY18" s="228"/>
      <c r="OUZ18" s="228"/>
      <c r="OVA18" s="228"/>
      <c r="OVB18" s="228"/>
      <c r="OVC18" s="226"/>
      <c r="OVD18" s="226"/>
      <c r="OVE18" s="224"/>
      <c r="OVF18" s="225"/>
      <c r="OVG18" s="226"/>
      <c r="OVH18" s="227"/>
      <c r="OVI18" s="228"/>
      <c r="OVJ18" s="228"/>
      <c r="OVK18" s="228"/>
      <c r="OVL18" s="228"/>
      <c r="OVM18" s="228"/>
      <c r="OVN18" s="228"/>
      <c r="OVO18" s="226"/>
      <c r="OVP18" s="226"/>
      <c r="OVQ18" s="224"/>
      <c r="OVR18" s="225"/>
      <c r="OVS18" s="226"/>
      <c r="OVT18" s="227"/>
      <c r="OVU18" s="228"/>
      <c r="OVV18" s="228"/>
      <c r="OVW18" s="228"/>
      <c r="OVX18" s="228"/>
      <c r="OVY18" s="228"/>
      <c r="OVZ18" s="228"/>
      <c r="OWA18" s="226"/>
      <c r="OWB18" s="226"/>
      <c r="OWC18" s="224"/>
      <c r="OWD18" s="225"/>
      <c r="OWE18" s="226"/>
      <c r="OWF18" s="227"/>
      <c r="OWG18" s="228"/>
      <c r="OWH18" s="228"/>
      <c r="OWI18" s="228"/>
      <c r="OWJ18" s="228"/>
      <c r="OWK18" s="228"/>
      <c r="OWL18" s="228"/>
      <c r="OWM18" s="226"/>
      <c r="OWN18" s="226"/>
      <c r="OWO18" s="224"/>
      <c r="OWP18" s="225"/>
      <c r="OWQ18" s="226"/>
      <c r="OWR18" s="227"/>
      <c r="OWS18" s="228"/>
      <c r="OWT18" s="228"/>
      <c r="OWU18" s="228"/>
      <c r="OWV18" s="228"/>
      <c r="OWW18" s="228"/>
      <c r="OWX18" s="228"/>
      <c r="OWY18" s="226"/>
      <c r="OWZ18" s="226"/>
      <c r="OXA18" s="224"/>
      <c r="OXB18" s="225"/>
      <c r="OXC18" s="226"/>
      <c r="OXD18" s="227"/>
      <c r="OXE18" s="228"/>
      <c r="OXF18" s="228"/>
      <c r="OXG18" s="228"/>
      <c r="OXH18" s="228"/>
      <c r="OXI18" s="228"/>
      <c r="OXJ18" s="228"/>
      <c r="OXK18" s="226"/>
      <c r="OXL18" s="226"/>
      <c r="OXM18" s="224"/>
      <c r="OXN18" s="225"/>
      <c r="OXO18" s="226"/>
      <c r="OXP18" s="227"/>
      <c r="OXQ18" s="228"/>
      <c r="OXR18" s="228"/>
      <c r="OXS18" s="228"/>
      <c r="OXT18" s="228"/>
      <c r="OXU18" s="228"/>
      <c r="OXV18" s="228"/>
      <c r="OXW18" s="226"/>
      <c r="OXX18" s="226"/>
      <c r="OXY18" s="224"/>
      <c r="OXZ18" s="225"/>
      <c r="OYA18" s="226"/>
      <c r="OYB18" s="227"/>
      <c r="OYC18" s="228"/>
      <c r="OYD18" s="228"/>
      <c r="OYE18" s="228"/>
      <c r="OYF18" s="228"/>
      <c r="OYG18" s="228"/>
      <c r="OYH18" s="228"/>
      <c r="OYI18" s="226"/>
      <c r="OYJ18" s="226"/>
      <c r="OYK18" s="224"/>
      <c r="OYL18" s="225"/>
      <c r="OYM18" s="226"/>
      <c r="OYN18" s="227"/>
      <c r="OYO18" s="228"/>
      <c r="OYP18" s="228"/>
      <c r="OYQ18" s="228"/>
      <c r="OYR18" s="228"/>
      <c r="OYS18" s="228"/>
      <c r="OYT18" s="228"/>
      <c r="OYU18" s="226"/>
      <c r="OYV18" s="226"/>
      <c r="OYW18" s="224"/>
      <c r="OYX18" s="225"/>
      <c r="OYY18" s="226"/>
      <c r="OYZ18" s="227"/>
      <c r="OZA18" s="228"/>
      <c r="OZB18" s="228"/>
      <c r="OZC18" s="228"/>
      <c r="OZD18" s="228"/>
      <c r="OZE18" s="228"/>
      <c r="OZF18" s="228"/>
      <c r="OZG18" s="226"/>
      <c r="OZH18" s="226"/>
      <c r="OZI18" s="224"/>
      <c r="OZJ18" s="225"/>
      <c r="OZK18" s="226"/>
      <c r="OZL18" s="227"/>
      <c r="OZM18" s="228"/>
      <c r="OZN18" s="228"/>
      <c r="OZO18" s="228"/>
      <c r="OZP18" s="228"/>
      <c r="OZQ18" s="228"/>
      <c r="OZR18" s="228"/>
      <c r="OZS18" s="226"/>
      <c r="OZT18" s="226"/>
      <c r="OZU18" s="224"/>
      <c r="OZV18" s="225"/>
      <c r="OZW18" s="226"/>
      <c r="OZX18" s="227"/>
      <c r="OZY18" s="228"/>
      <c r="OZZ18" s="228"/>
      <c r="PAA18" s="228"/>
      <c r="PAB18" s="228"/>
      <c r="PAC18" s="228"/>
      <c r="PAD18" s="228"/>
      <c r="PAE18" s="226"/>
      <c r="PAF18" s="226"/>
      <c r="PAG18" s="224"/>
      <c r="PAH18" s="225"/>
      <c r="PAI18" s="226"/>
      <c r="PAJ18" s="227"/>
      <c r="PAK18" s="228"/>
      <c r="PAL18" s="228"/>
      <c r="PAM18" s="228"/>
      <c r="PAN18" s="228"/>
      <c r="PAO18" s="228"/>
      <c r="PAP18" s="228"/>
      <c r="PAQ18" s="226"/>
      <c r="PAR18" s="226"/>
      <c r="PAS18" s="224"/>
      <c r="PAT18" s="225"/>
      <c r="PAU18" s="226"/>
      <c r="PAV18" s="227"/>
      <c r="PAW18" s="228"/>
      <c r="PAX18" s="228"/>
      <c r="PAY18" s="228"/>
      <c r="PAZ18" s="228"/>
      <c r="PBA18" s="228"/>
      <c r="PBB18" s="228"/>
      <c r="PBC18" s="226"/>
      <c r="PBD18" s="226"/>
      <c r="PBE18" s="224"/>
      <c r="PBF18" s="225"/>
      <c r="PBG18" s="226"/>
      <c r="PBH18" s="227"/>
      <c r="PBI18" s="228"/>
      <c r="PBJ18" s="228"/>
      <c r="PBK18" s="228"/>
      <c r="PBL18" s="228"/>
      <c r="PBM18" s="228"/>
      <c r="PBN18" s="228"/>
      <c r="PBO18" s="226"/>
      <c r="PBP18" s="226"/>
      <c r="PBQ18" s="224"/>
      <c r="PBR18" s="225"/>
      <c r="PBS18" s="226"/>
      <c r="PBT18" s="227"/>
      <c r="PBU18" s="228"/>
      <c r="PBV18" s="228"/>
      <c r="PBW18" s="228"/>
      <c r="PBX18" s="228"/>
      <c r="PBY18" s="228"/>
      <c r="PBZ18" s="228"/>
      <c r="PCA18" s="226"/>
      <c r="PCB18" s="226"/>
      <c r="PCC18" s="224"/>
      <c r="PCD18" s="225"/>
      <c r="PCE18" s="226"/>
      <c r="PCF18" s="227"/>
      <c r="PCG18" s="228"/>
      <c r="PCH18" s="228"/>
      <c r="PCI18" s="228"/>
      <c r="PCJ18" s="228"/>
      <c r="PCK18" s="228"/>
      <c r="PCL18" s="228"/>
      <c r="PCM18" s="226"/>
      <c r="PCN18" s="226"/>
      <c r="PCO18" s="224"/>
      <c r="PCP18" s="225"/>
      <c r="PCQ18" s="226"/>
      <c r="PCR18" s="227"/>
      <c r="PCS18" s="228"/>
      <c r="PCT18" s="228"/>
      <c r="PCU18" s="228"/>
      <c r="PCV18" s="228"/>
      <c r="PCW18" s="228"/>
      <c r="PCX18" s="228"/>
      <c r="PCY18" s="226"/>
      <c r="PCZ18" s="226"/>
      <c r="PDA18" s="224"/>
      <c r="PDB18" s="225"/>
      <c r="PDC18" s="226"/>
      <c r="PDD18" s="227"/>
      <c r="PDE18" s="228"/>
      <c r="PDF18" s="228"/>
      <c r="PDG18" s="228"/>
      <c r="PDH18" s="228"/>
      <c r="PDI18" s="228"/>
      <c r="PDJ18" s="228"/>
      <c r="PDK18" s="226"/>
      <c r="PDL18" s="226"/>
      <c r="PDM18" s="224"/>
      <c r="PDN18" s="225"/>
      <c r="PDO18" s="226"/>
      <c r="PDP18" s="227"/>
      <c r="PDQ18" s="228"/>
      <c r="PDR18" s="228"/>
      <c r="PDS18" s="228"/>
      <c r="PDT18" s="228"/>
      <c r="PDU18" s="228"/>
      <c r="PDV18" s="228"/>
      <c r="PDW18" s="226"/>
      <c r="PDX18" s="226"/>
      <c r="PDY18" s="224"/>
      <c r="PDZ18" s="225"/>
      <c r="PEA18" s="226"/>
      <c r="PEB18" s="227"/>
      <c r="PEC18" s="228"/>
      <c r="PED18" s="228"/>
      <c r="PEE18" s="228"/>
      <c r="PEF18" s="228"/>
      <c r="PEG18" s="228"/>
      <c r="PEH18" s="228"/>
      <c r="PEI18" s="226"/>
      <c r="PEJ18" s="226"/>
      <c r="PEK18" s="224"/>
      <c r="PEL18" s="225"/>
      <c r="PEM18" s="226"/>
      <c r="PEN18" s="227"/>
      <c r="PEO18" s="228"/>
      <c r="PEP18" s="228"/>
      <c r="PEQ18" s="228"/>
      <c r="PER18" s="228"/>
      <c r="PES18" s="228"/>
      <c r="PET18" s="228"/>
      <c r="PEU18" s="226"/>
      <c r="PEV18" s="226"/>
      <c r="PEW18" s="224"/>
      <c r="PEX18" s="225"/>
      <c r="PEY18" s="226"/>
      <c r="PEZ18" s="227"/>
      <c r="PFA18" s="228"/>
      <c r="PFB18" s="228"/>
      <c r="PFC18" s="228"/>
      <c r="PFD18" s="228"/>
      <c r="PFE18" s="228"/>
      <c r="PFF18" s="228"/>
      <c r="PFG18" s="226"/>
      <c r="PFH18" s="226"/>
      <c r="PFI18" s="224"/>
      <c r="PFJ18" s="225"/>
      <c r="PFK18" s="226"/>
      <c r="PFL18" s="227"/>
      <c r="PFM18" s="228"/>
      <c r="PFN18" s="228"/>
      <c r="PFO18" s="228"/>
      <c r="PFP18" s="228"/>
      <c r="PFQ18" s="228"/>
      <c r="PFR18" s="228"/>
      <c r="PFS18" s="226"/>
      <c r="PFT18" s="226"/>
      <c r="PFU18" s="224"/>
      <c r="PFV18" s="225"/>
      <c r="PFW18" s="226"/>
      <c r="PFX18" s="227"/>
      <c r="PFY18" s="228"/>
      <c r="PFZ18" s="228"/>
      <c r="PGA18" s="228"/>
      <c r="PGB18" s="228"/>
      <c r="PGC18" s="228"/>
      <c r="PGD18" s="228"/>
      <c r="PGE18" s="226"/>
      <c r="PGF18" s="226"/>
      <c r="PGG18" s="224"/>
      <c r="PGH18" s="225"/>
      <c r="PGI18" s="226"/>
      <c r="PGJ18" s="227"/>
      <c r="PGK18" s="228"/>
      <c r="PGL18" s="228"/>
      <c r="PGM18" s="228"/>
      <c r="PGN18" s="228"/>
      <c r="PGO18" s="228"/>
      <c r="PGP18" s="228"/>
      <c r="PGQ18" s="226"/>
      <c r="PGR18" s="226"/>
      <c r="PGS18" s="224"/>
      <c r="PGT18" s="225"/>
      <c r="PGU18" s="226"/>
      <c r="PGV18" s="227"/>
      <c r="PGW18" s="228"/>
      <c r="PGX18" s="228"/>
      <c r="PGY18" s="228"/>
      <c r="PGZ18" s="228"/>
      <c r="PHA18" s="228"/>
      <c r="PHB18" s="228"/>
      <c r="PHC18" s="226"/>
      <c r="PHD18" s="226"/>
      <c r="PHE18" s="224"/>
      <c r="PHF18" s="225"/>
      <c r="PHG18" s="226"/>
      <c r="PHH18" s="227"/>
      <c r="PHI18" s="228"/>
      <c r="PHJ18" s="228"/>
      <c r="PHK18" s="228"/>
      <c r="PHL18" s="228"/>
      <c r="PHM18" s="228"/>
      <c r="PHN18" s="228"/>
      <c r="PHO18" s="226"/>
      <c r="PHP18" s="226"/>
      <c r="PHQ18" s="224"/>
      <c r="PHR18" s="225"/>
      <c r="PHS18" s="226"/>
      <c r="PHT18" s="227"/>
      <c r="PHU18" s="228"/>
      <c r="PHV18" s="228"/>
      <c r="PHW18" s="228"/>
      <c r="PHX18" s="228"/>
      <c r="PHY18" s="228"/>
      <c r="PHZ18" s="228"/>
      <c r="PIA18" s="226"/>
      <c r="PIB18" s="226"/>
      <c r="PIC18" s="224"/>
      <c r="PID18" s="225"/>
      <c r="PIE18" s="226"/>
      <c r="PIF18" s="227"/>
      <c r="PIG18" s="228"/>
      <c r="PIH18" s="228"/>
      <c r="PII18" s="228"/>
      <c r="PIJ18" s="228"/>
      <c r="PIK18" s="228"/>
      <c r="PIL18" s="228"/>
      <c r="PIM18" s="226"/>
      <c r="PIN18" s="226"/>
      <c r="PIO18" s="224"/>
      <c r="PIP18" s="225"/>
      <c r="PIQ18" s="226"/>
      <c r="PIR18" s="227"/>
      <c r="PIS18" s="228"/>
      <c r="PIT18" s="228"/>
      <c r="PIU18" s="228"/>
      <c r="PIV18" s="228"/>
      <c r="PIW18" s="228"/>
      <c r="PIX18" s="228"/>
      <c r="PIY18" s="226"/>
      <c r="PIZ18" s="226"/>
      <c r="PJA18" s="224"/>
      <c r="PJB18" s="225"/>
      <c r="PJC18" s="226"/>
      <c r="PJD18" s="227"/>
      <c r="PJE18" s="228"/>
      <c r="PJF18" s="228"/>
      <c r="PJG18" s="228"/>
      <c r="PJH18" s="228"/>
      <c r="PJI18" s="228"/>
      <c r="PJJ18" s="228"/>
      <c r="PJK18" s="226"/>
      <c r="PJL18" s="226"/>
      <c r="PJM18" s="224"/>
      <c r="PJN18" s="225"/>
      <c r="PJO18" s="226"/>
      <c r="PJP18" s="227"/>
      <c r="PJQ18" s="228"/>
      <c r="PJR18" s="228"/>
      <c r="PJS18" s="228"/>
      <c r="PJT18" s="228"/>
      <c r="PJU18" s="228"/>
      <c r="PJV18" s="228"/>
      <c r="PJW18" s="226"/>
      <c r="PJX18" s="226"/>
      <c r="PJY18" s="224"/>
      <c r="PJZ18" s="225"/>
      <c r="PKA18" s="226"/>
      <c r="PKB18" s="227"/>
      <c r="PKC18" s="228"/>
      <c r="PKD18" s="228"/>
      <c r="PKE18" s="228"/>
      <c r="PKF18" s="228"/>
      <c r="PKG18" s="228"/>
      <c r="PKH18" s="228"/>
      <c r="PKI18" s="226"/>
      <c r="PKJ18" s="226"/>
      <c r="PKK18" s="224"/>
      <c r="PKL18" s="225"/>
      <c r="PKM18" s="226"/>
      <c r="PKN18" s="227"/>
      <c r="PKO18" s="228"/>
      <c r="PKP18" s="228"/>
      <c r="PKQ18" s="228"/>
      <c r="PKR18" s="228"/>
      <c r="PKS18" s="228"/>
      <c r="PKT18" s="228"/>
      <c r="PKU18" s="226"/>
      <c r="PKV18" s="226"/>
      <c r="PKW18" s="224"/>
      <c r="PKX18" s="225"/>
      <c r="PKY18" s="226"/>
      <c r="PKZ18" s="227"/>
      <c r="PLA18" s="228"/>
      <c r="PLB18" s="228"/>
      <c r="PLC18" s="228"/>
      <c r="PLD18" s="228"/>
      <c r="PLE18" s="228"/>
      <c r="PLF18" s="228"/>
      <c r="PLG18" s="226"/>
      <c r="PLH18" s="226"/>
      <c r="PLI18" s="224"/>
      <c r="PLJ18" s="225"/>
      <c r="PLK18" s="226"/>
      <c r="PLL18" s="227"/>
      <c r="PLM18" s="228"/>
      <c r="PLN18" s="228"/>
      <c r="PLO18" s="228"/>
      <c r="PLP18" s="228"/>
      <c r="PLQ18" s="228"/>
      <c r="PLR18" s="228"/>
      <c r="PLS18" s="226"/>
      <c r="PLT18" s="226"/>
      <c r="PLU18" s="224"/>
      <c r="PLV18" s="225"/>
      <c r="PLW18" s="226"/>
      <c r="PLX18" s="227"/>
      <c r="PLY18" s="228"/>
      <c r="PLZ18" s="228"/>
      <c r="PMA18" s="228"/>
      <c r="PMB18" s="228"/>
      <c r="PMC18" s="228"/>
      <c r="PMD18" s="228"/>
      <c r="PME18" s="226"/>
      <c r="PMF18" s="226"/>
      <c r="PMG18" s="224"/>
      <c r="PMH18" s="225"/>
      <c r="PMI18" s="226"/>
      <c r="PMJ18" s="227"/>
      <c r="PMK18" s="228"/>
      <c r="PML18" s="228"/>
      <c r="PMM18" s="228"/>
      <c r="PMN18" s="228"/>
      <c r="PMO18" s="228"/>
      <c r="PMP18" s="228"/>
      <c r="PMQ18" s="226"/>
      <c r="PMR18" s="226"/>
      <c r="PMS18" s="224"/>
      <c r="PMT18" s="225"/>
      <c r="PMU18" s="226"/>
      <c r="PMV18" s="227"/>
      <c r="PMW18" s="228"/>
      <c r="PMX18" s="228"/>
      <c r="PMY18" s="228"/>
      <c r="PMZ18" s="228"/>
      <c r="PNA18" s="228"/>
      <c r="PNB18" s="228"/>
      <c r="PNC18" s="226"/>
      <c r="PND18" s="226"/>
      <c r="PNE18" s="224"/>
      <c r="PNF18" s="225"/>
      <c r="PNG18" s="226"/>
      <c r="PNH18" s="227"/>
      <c r="PNI18" s="228"/>
      <c r="PNJ18" s="228"/>
      <c r="PNK18" s="228"/>
      <c r="PNL18" s="228"/>
      <c r="PNM18" s="228"/>
      <c r="PNN18" s="228"/>
      <c r="PNO18" s="226"/>
      <c r="PNP18" s="226"/>
      <c r="PNQ18" s="224"/>
      <c r="PNR18" s="225"/>
      <c r="PNS18" s="226"/>
      <c r="PNT18" s="227"/>
      <c r="PNU18" s="228"/>
      <c r="PNV18" s="228"/>
      <c r="PNW18" s="228"/>
      <c r="PNX18" s="228"/>
      <c r="PNY18" s="228"/>
      <c r="PNZ18" s="228"/>
      <c r="POA18" s="226"/>
      <c r="POB18" s="226"/>
      <c r="POC18" s="224"/>
      <c r="POD18" s="225"/>
      <c r="POE18" s="226"/>
      <c r="POF18" s="227"/>
      <c r="POG18" s="228"/>
      <c r="POH18" s="228"/>
      <c r="POI18" s="228"/>
      <c r="POJ18" s="228"/>
      <c r="POK18" s="228"/>
      <c r="POL18" s="228"/>
      <c r="POM18" s="226"/>
      <c r="PON18" s="226"/>
      <c r="POO18" s="224"/>
      <c r="POP18" s="225"/>
      <c r="POQ18" s="226"/>
      <c r="POR18" s="227"/>
      <c r="POS18" s="228"/>
      <c r="POT18" s="228"/>
      <c r="POU18" s="228"/>
      <c r="POV18" s="228"/>
      <c r="POW18" s="228"/>
      <c r="POX18" s="228"/>
      <c r="POY18" s="226"/>
      <c r="POZ18" s="226"/>
      <c r="PPA18" s="224"/>
      <c r="PPB18" s="225"/>
      <c r="PPC18" s="226"/>
      <c r="PPD18" s="227"/>
      <c r="PPE18" s="228"/>
      <c r="PPF18" s="228"/>
      <c r="PPG18" s="228"/>
      <c r="PPH18" s="228"/>
      <c r="PPI18" s="228"/>
      <c r="PPJ18" s="228"/>
      <c r="PPK18" s="226"/>
      <c r="PPL18" s="226"/>
      <c r="PPM18" s="224"/>
      <c r="PPN18" s="225"/>
      <c r="PPO18" s="226"/>
      <c r="PPP18" s="227"/>
      <c r="PPQ18" s="228"/>
      <c r="PPR18" s="228"/>
      <c r="PPS18" s="228"/>
      <c r="PPT18" s="228"/>
      <c r="PPU18" s="228"/>
      <c r="PPV18" s="228"/>
      <c r="PPW18" s="226"/>
      <c r="PPX18" s="226"/>
      <c r="PPY18" s="224"/>
      <c r="PPZ18" s="225"/>
      <c r="PQA18" s="226"/>
      <c r="PQB18" s="227"/>
      <c r="PQC18" s="228"/>
      <c r="PQD18" s="228"/>
      <c r="PQE18" s="228"/>
      <c r="PQF18" s="228"/>
      <c r="PQG18" s="228"/>
      <c r="PQH18" s="228"/>
      <c r="PQI18" s="226"/>
      <c r="PQJ18" s="226"/>
      <c r="PQK18" s="224"/>
      <c r="PQL18" s="225"/>
      <c r="PQM18" s="226"/>
      <c r="PQN18" s="227"/>
      <c r="PQO18" s="228"/>
      <c r="PQP18" s="228"/>
      <c r="PQQ18" s="228"/>
      <c r="PQR18" s="228"/>
      <c r="PQS18" s="228"/>
      <c r="PQT18" s="228"/>
      <c r="PQU18" s="226"/>
      <c r="PQV18" s="226"/>
      <c r="PQW18" s="224"/>
      <c r="PQX18" s="225"/>
      <c r="PQY18" s="226"/>
      <c r="PQZ18" s="227"/>
      <c r="PRA18" s="228"/>
      <c r="PRB18" s="228"/>
      <c r="PRC18" s="228"/>
      <c r="PRD18" s="228"/>
      <c r="PRE18" s="228"/>
      <c r="PRF18" s="228"/>
      <c r="PRG18" s="226"/>
      <c r="PRH18" s="226"/>
      <c r="PRI18" s="224"/>
      <c r="PRJ18" s="225"/>
      <c r="PRK18" s="226"/>
      <c r="PRL18" s="227"/>
      <c r="PRM18" s="228"/>
      <c r="PRN18" s="228"/>
      <c r="PRO18" s="228"/>
      <c r="PRP18" s="228"/>
      <c r="PRQ18" s="228"/>
      <c r="PRR18" s="228"/>
      <c r="PRS18" s="226"/>
      <c r="PRT18" s="226"/>
      <c r="PRU18" s="224"/>
      <c r="PRV18" s="225"/>
      <c r="PRW18" s="226"/>
      <c r="PRX18" s="227"/>
      <c r="PRY18" s="228"/>
      <c r="PRZ18" s="228"/>
      <c r="PSA18" s="228"/>
      <c r="PSB18" s="228"/>
      <c r="PSC18" s="228"/>
      <c r="PSD18" s="228"/>
      <c r="PSE18" s="226"/>
      <c r="PSF18" s="226"/>
      <c r="PSG18" s="224"/>
      <c r="PSH18" s="225"/>
      <c r="PSI18" s="226"/>
      <c r="PSJ18" s="227"/>
      <c r="PSK18" s="228"/>
      <c r="PSL18" s="228"/>
      <c r="PSM18" s="228"/>
      <c r="PSN18" s="228"/>
      <c r="PSO18" s="228"/>
      <c r="PSP18" s="228"/>
      <c r="PSQ18" s="226"/>
      <c r="PSR18" s="226"/>
      <c r="PSS18" s="224"/>
      <c r="PST18" s="225"/>
      <c r="PSU18" s="226"/>
      <c r="PSV18" s="227"/>
      <c r="PSW18" s="228"/>
      <c r="PSX18" s="228"/>
      <c r="PSY18" s="228"/>
      <c r="PSZ18" s="228"/>
      <c r="PTA18" s="228"/>
      <c r="PTB18" s="228"/>
      <c r="PTC18" s="226"/>
      <c r="PTD18" s="226"/>
      <c r="PTE18" s="224"/>
      <c r="PTF18" s="225"/>
      <c r="PTG18" s="226"/>
      <c r="PTH18" s="227"/>
      <c r="PTI18" s="228"/>
      <c r="PTJ18" s="228"/>
      <c r="PTK18" s="228"/>
      <c r="PTL18" s="228"/>
      <c r="PTM18" s="228"/>
      <c r="PTN18" s="228"/>
      <c r="PTO18" s="226"/>
      <c r="PTP18" s="226"/>
      <c r="PTQ18" s="224"/>
      <c r="PTR18" s="225"/>
      <c r="PTS18" s="226"/>
      <c r="PTT18" s="227"/>
      <c r="PTU18" s="228"/>
      <c r="PTV18" s="228"/>
      <c r="PTW18" s="228"/>
      <c r="PTX18" s="228"/>
      <c r="PTY18" s="228"/>
      <c r="PTZ18" s="228"/>
      <c r="PUA18" s="226"/>
      <c r="PUB18" s="226"/>
      <c r="PUC18" s="224"/>
      <c r="PUD18" s="225"/>
      <c r="PUE18" s="226"/>
      <c r="PUF18" s="227"/>
      <c r="PUG18" s="228"/>
      <c r="PUH18" s="228"/>
      <c r="PUI18" s="228"/>
      <c r="PUJ18" s="228"/>
      <c r="PUK18" s="228"/>
      <c r="PUL18" s="228"/>
      <c r="PUM18" s="226"/>
      <c r="PUN18" s="226"/>
      <c r="PUO18" s="224"/>
      <c r="PUP18" s="225"/>
      <c r="PUQ18" s="226"/>
      <c r="PUR18" s="227"/>
      <c r="PUS18" s="228"/>
      <c r="PUT18" s="228"/>
      <c r="PUU18" s="228"/>
      <c r="PUV18" s="228"/>
      <c r="PUW18" s="228"/>
      <c r="PUX18" s="228"/>
      <c r="PUY18" s="226"/>
      <c r="PUZ18" s="226"/>
      <c r="PVA18" s="224"/>
      <c r="PVB18" s="225"/>
      <c r="PVC18" s="226"/>
      <c r="PVD18" s="227"/>
      <c r="PVE18" s="228"/>
      <c r="PVF18" s="228"/>
      <c r="PVG18" s="228"/>
      <c r="PVH18" s="228"/>
      <c r="PVI18" s="228"/>
      <c r="PVJ18" s="228"/>
      <c r="PVK18" s="226"/>
      <c r="PVL18" s="226"/>
      <c r="PVM18" s="224"/>
      <c r="PVN18" s="225"/>
      <c r="PVO18" s="226"/>
      <c r="PVP18" s="227"/>
      <c r="PVQ18" s="228"/>
      <c r="PVR18" s="228"/>
      <c r="PVS18" s="228"/>
      <c r="PVT18" s="228"/>
      <c r="PVU18" s="228"/>
      <c r="PVV18" s="228"/>
      <c r="PVW18" s="226"/>
      <c r="PVX18" s="226"/>
      <c r="PVY18" s="224"/>
      <c r="PVZ18" s="225"/>
      <c r="PWA18" s="226"/>
      <c r="PWB18" s="227"/>
      <c r="PWC18" s="228"/>
      <c r="PWD18" s="228"/>
      <c r="PWE18" s="228"/>
      <c r="PWF18" s="228"/>
      <c r="PWG18" s="228"/>
      <c r="PWH18" s="228"/>
      <c r="PWI18" s="226"/>
      <c r="PWJ18" s="226"/>
      <c r="PWK18" s="224"/>
      <c r="PWL18" s="225"/>
      <c r="PWM18" s="226"/>
      <c r="PWN18" s="227"/>
      <c r="PWO18" s="228"/>
      <c r="PWP18" s="228"/>
      <c r="PWQ18" s="228"/>
      <c r="PWR18" s="228"/>
      <c r="PWS18" s="228"/>
      <c r="PWT18" s="228"/>
      <c r="PWU18" s="226"/>
      <c r="PWV18" s="226"/>
      <c r="PWW18" s="224"/>
      <c r="PWX18" s="225"/>
      <c r="PWY18" s="226"/>
      <c r="PWZ18" s="227"/>
      <c r="PXA18" s="228"/>
      <c r="PXB18" s="228"/>
      <c r="PXC18" s="228"/>
      <c r="PXD18" s="228"/>
      <c r="PXE18" s="228"/>
      <c r="PXF18" s="228"/>
      <c r="PXG18" s="226"/>
      <c r="PXH18" s="226"/>
      <c r="PXI18" s="224"/>
      <c r="PXJ18" s="225"/>
      <c r="PXK18" s="226"/>
      <c r="PXL18" s="227"/>
      <c r="PXM18" s="228"/>
      <c r="PXN18" s="228"/>
      <c r="PXO18" s="228"/>
      <c r="PXP18" s="228"/>
      <c r="PXQ18" s="228"/>
      <c r="PXR18" s="228"/>
      <c r="PXS18" s="226"/>
      <c r="PXT18" s="226"/>
      <c r="PXU18" s="224"/>
      <c r="PXV18" s="225"/>
      <c r="PXW18" s="226"/>
      <c r="PXX18" s="227"/>
      <c r="PXY18" s="228"/>
      <c r="PXZ18" s="228"/>
      <c r="PYA18" s="228"/>
      <c r="PYB18" s="228"/>
      <c r="PYC18" s="228"/>
      <c r="PYD18" s="228"/>
      <c r="PYE18" s="226"/>
      <c r="PYF18" s="226"/>
      <c r="PYG18" s="224"/>
      <c r="PYH18" s="225"/>
      <c r="PYI18" s="226"/>
      <c r="PYJ18" s="227"/>
      <c r="PYK18" s="228"/>
      <c r="PYL18" s="228"/>
      <c r="PYM18" s="228"/>
      <c r="PYN18" s="228"/>
      <c r="PYO18" s="228"/>
      <c r="PYP18" s="228"/>
      <c r="PYQ18" s="226"/>
      <c r="PYR18" s="226"/>
      <c r="PYS18" s="224"/>
      <c r="PYT18" s="225"/>
      <c r="PYU18" s="226"/>
      <c r="PYV18" s="227"/>
      <c r="PYW18" s="228"/>
      <c r="PYX18" s="228"/>
      <c r="PYY18" s="228"/>
      <c r="PYZ18" s="228"/>
      <c r="PZA18" s="228"/>
      <c r="PZB18" s="228"/>
      <c r="PZC18" s="226"/>
      <c r="PZD18" s="226"/>
      <c r="PZE18" s="224"/>
      <c r="PZF18" s="225"/>
      <c r="PZG18" s="226"/>
      <c r="PZH18" s="227"/>
      <c r="PZI18" s="228"/>
      <c r="PZJ18" s="228"/>
      <c r="PZK18" s="228"/>
      <c r="PZL18" s="228"/>
      <c r="PZM18" s="228"/>
      <c r="PZN18" s="228"/>
      <c r="PZO18" s="226"/>
      <c r="PZP18" s="226"/>
      <c r="PZQ18" s="224"/>
      <c r="PZR18" s="225"/>
      <c r="PZS18" s="226"/>
      <c r="PZT18" s="227"/>
      <c r="PZU18" s="228"/>
      <c r="PZV18" s="228"/>
      <c r="PZW18" s="228"/>
      <c r="PZX18" s="228"/>
      <c r="PZY18" s="228"/>
      <c r="PZZ18" s="228"/>
      <c r="QAA18" s="226"/>
      <c r="QAB18" s="226"/>
      <c r="QAC18" s="224"/>
      <c r="QAD18" s="225"/>
      <c r="QAE18" s="226"/>
      <c r="QAF18" s="227"/>
      <c r="QAG18" s="228"/>
      <c r="QAH18" s="228"/>
      <c r="QAI18" s="228"/>
      <c r="QAJ18" s="228"/>
      <c r="QAK18" s="228"/>
      <c r="QAL18" s="228"/>
      <c r="QAM18" s="226"/>
      <c r="QAN18" s="226"/>
      <c r="QAO18" s="224"/>
      <c r="QAP18" s="225"/>
      <c r="QAQ18" s="226"/>
      <c r="QAR18" s="227"/>
      <c r="QAS18" s="228"/>
      <c r="QAT18" s="228"/>
      <c r="QAU18" s="228"/>
      <c r="QAV18" s="228"/>
      <c r="QAW18" s="228"/>
      <c r="QAX18" s="228"/>
      <c r="QAY18" s="226"/>
      <c r="QAZ18" s="226"/>
      <c r="QBA18" s="224"/>
      <c r="QBB18" s="225"/>
      <c r="QBC18" s="226"/>
      <c r="QBD18" s="227"/>
      <c r="QBE18" s="228"/>
      <c r="QBF18" s="228"/>
      <c r="QBG18" s="228"/>
      <c r="QBH18" s="228"/>
      <c r="QBI18" s="228"/>
      <c r="QBJ18" s="228"/>
      <c r="QBK18" s="226"/>
      <c r="QBL18" s="226"/>
      <c r="QBM18" s="224"/>
      <c r="QBN18" s="225"/>
      <c r="QBO18" s="226"/>
      <c r="QBP18" s="227"/>
      <c r="QBQ18" s="228"/>
      <c r="QBR18" s="228"/>
      <c r="QBS18" s="228"/>
      <c r="QBT18" s="228"/>
      <c r="QBU18" s="228"/>
      <c r="QBV18" s="228"/>
      <c r="QBW18" s="226"/>
      <c r="QBX18" s="226"/>
      <c r="QBY18" s="224"/>
      <c r="QBZ18" s="225"/>
      <c r="QCA18" s="226"/>
      <c r="QCB18" s="227"/>
      <c r="QCC18" s="228"/>
      <c r="QCD18" s="228"/>
      <c r="QCE18" s="228"/>
      <c r="QCF18" s="228"/>
      <c r="QCG18" s="228"/>
      <c r="QCH18" s="228"/>
      <c r="QCI18" s="226"/>
      <c r="QCJ18" s="226"/>
      <c r="QCK18" s="224"/>
      <c r="QCL18" s="225"/>
      <c r="QCM18" s="226"/>
      <c r="QCN18" s="227"/>
      <c r="QCO18" s="228"/>
      <c r="QCP18" s="228"/>
      <c r="QCQ18" s="228"/>
      <c r="QCR18" s="228"/>
      <c r="QCS18" s="228"/>
      <c r="QCT18" s="228"/>
      <c r="QCU18" s="226"/>
      <c r="QCV18" s="226"/>
      <c r="QCW18" s="224"/>
      <c r="QCX18" s="225"/>
      <c r="QCY18" s="226"/>
      <c r="QCZ18" s="227"/>
      <c r="QDA18" s="228"/>
      <c r="QDB18" s="228"/>
      <c r="QDC18" s="228"/>
      <c r="QDD18" s="228"/>
      <c r="QDE18" s="228"/>
      <c r="QDF18" s="228"/>
      <c r="QDG18" s="226"/>
      <c r="QDH18" s="226"/>
      <c r="QDI18" s="224"/>
      <c r="QDJ18" s="225"/>
      <c r="QDK18" s="226"/>
      <c r="QDL18" s="227"/>
      <c r="QDM18" s="228"/>
      <c r="QDN18" s="228"/>
      <c r="QDO18" s="228"/>
      <c r="QDP18" s="228"/>
      <c r="QDQ18" s="228"/>
      <c r="QDR18" s="228"/>
      <c r="QDS18" s="226"/>
      <c r="QDT18" s="226"/>
      <c r="QDU18" s="224"/>
      <c r="QDV18" s="225"/>
      <c r="QDW18" s="226"/>
      <c r="QDX18" s="227"/>
      <c r="QDY18" s="228"/>
      <c r="QDZ18" s="228"/>
      <c r="QEA18" s="228"/>
      <c r="QEB18" s="228"/>
      <c r="QEC18" s="228"/>
      <c r="QED18" s="228"/>
      <c r="QEE18" s="226"/>
      <c r="QEF18" s="226"/>
      <c r="QEG18" s="224"/>
      <c r="QEH18" s="225"/>
      <c r="QEI18" s="226"/>
      <c r="QEJ18" s="227"/>
      <c r="QEK18" s="228"/>
      <c r="QEL18" s="228"/>
      <c r="QEM18" s="228"/>
      <c r="QEN18" s="228"/>
      <c r="QEO18" s="228"/>
      <c r="QEP18" s="228"/>
      <c r="QEQ18" s="226"/>
      <c r="QER18" s="226"/>
      <c r="QES18" s="224"/>
      <c r="QET18" s="225"/>
      <c r="QEU18" s="226"/>
      <c r="QEV18" s="227"/>
      <c r="QEW18" s="228"/>
      <c r="QEX18" s="228"/>
      <c r="QEY18" s="228"/>
      <c r="QEZ18" s="228"/>
      <c r="QFA18" s="228"/>
      <c r="QFB18" s="228"/>
      <c r="QFC18" s="226"/>
      <c r="QFD18" s="226"/>
      <c r="QFE18" s="224"/>
      <c r="QFF18" s="225"/>
      <c r="QFG18" s="226"/>
      <c r="QFH18" s="227"/>
      <c r="QFI18" s="228"/>
      <c r="QFJ18" s="228"/>
      <c r="QFK18" s="228"/>
      <c r="QFL18" s="228"/>
      <c r="QFM18" s="228"/>
      <c r="QFN18" s="228"/>
      <c r="QFO18" s="226"/>
      <c r="QFP18" s="226"/>
      <c r="QFQ18" s="224"/>
      <c r="QFR18" s="225"/>
      <c r="QFS18" s="226"/>
      <c r="QFT18" s="227"/>
      <c r="QFU18" s="228"/>
      <c r="QFV18" s="228"/>
      <c r="QFW18" s="228"/>
      <c r="QFX18" s="228"/>
      <c r="QFY18" s="228"/>
      <c r="QFZ18" s="228"/>
      <c r="QGA18" s="226"/>
      <c r="QGB18" s="226"/>
      <c r="QGC18" s="224"/>
      <c r="QGD18" s="225"/>
      <c r="QGE18" s="226"/>
      <c r="QGF18" s="227"/>
      <c r="QGG18" s="228"/>
      <c r="QGH18" s="228"/>
      <c r="QGI18" s="228"/>
      <c r="QGJ18" s="228"/>
      <c r="QGK18" s="228"/>
      <c r="QGL18" s="228"/>
      <c r="QGM18" s="226"/>
      <c r="QGN18" s="226"/>
      <c r="QGO18" s="224"/>
      <c r="QGP18" s="225"/>
      <c r="QGQ18" s="226"/>
      <c r="QGR18" s="227"/>
      <c r="QGS18" s="228"/>
      <c r="QGT18" s="228"/>
      <c r="QGU18" s="228"/>
      <c r="QGV18" s="228"/>
      <c r="QGW18" s="228"/>
      <c r="QGX18" s="228"/>
      <c r="QGY18" s="226"/>
      <c r="QGZ18" s="226"/>
      <c r="QHA18" s="224"/>
      <c r="QHB18" s="225"/>
      <c r="QHC18" s="226"/>
      <c r="QHD18" s="227"/>
      <c r="QHE18" s="228"/>
      <c r="QHF18" s="228"/>
      <c r="QHG18" s="228"/>
      <c r="QHH18" s="228"/>
      <c r="QHI18" s="228"/>
      <c r="QHJ18" s="228"/>
      <c r="QHK18" s="226"/>
      <c r="QHL18" s="226"/>
      <c r="QHM18" s="224"/>
      <c r="QHN18" s="225"/>
      <c r="QHO18" s="226"/>
      <c r="QHP18" s="227"/>
      <c r="QHQ18" s="228"/>
      <c r="QHR18" s="228"/>
      <c r="QHS18" s="228"/>
      <c r="QHT18" s="228"/>
      <c r="QHU18" s="228"/>
      <c r="QHV18" s="228"/>
      <c r="QHW18" s="226"/>
      <c r="QHX18" s="226"/>
      <c r="QHY18" s="224"/>
      <c r="QHZ18" s="225"/>
      <c r="QIA18" s="226"/>
      <c r="QIB18" s="227"/>
      <c r="QIC18" s="228"/>
      <c r="QID18" s="228"/>
      <c r="QIE18" s="228"/>
      <c r="QIF18" s="228"/>
      <c r="QIG18" s="228"/>
      <c r="QIH18" s="228"/>
      <c r="QII18" s="226"/>
      <c r="QIJ18" s="226"/>
      <c r="QIK18" s="224"/>
      <c r="QIL18" s="225"/>
      <c r="QIM18" s="226"/>
      <c r="QIN18" s="227"/>
      <c r="QIO18" s="228"/>
      <c r="QIP18" s="228"/>
      <c r="QIQ18" s="228"/>
      <c r="QIR18" s="228"/>
      <c r="QIS18" s="228"/>
      <c r="QIT18" s="228"/>
      <c r="QIU18" s="226"/>
      <c r="QIV18" s="226"/>
      <c r="QIW18" s="224"/>
      <c r="QIX18" s="225"/>
      <c r="QIY18" s="226"/>
      <c r="QIZ18" s="227"/>
      <c r="QJA18" s="228"/>
      <c r="QJB18" s="228"/>
      <c r="QJC18" s="228"/>
      <c r="QJD18" s="228"/>
      <c r="QJE18" s="228"/>
      <c r="QJF18" s="228"/>
      <c r="QJG18" s="226"/>
      <c r="QJH18" s="226"/>
      <c r="QJI18" s="224"/>
      <c r="QJJ18" s="225"/>
      <c r="QJK18" s="226"/>
      <c r="QJL18" s="227"/>
      <c r="QJM18" s="228"/>
      <c r="QJN18" s="228"/>
      <c r="QJO18" s="228"/>
      <c r="QJP18" s="228"/>
      <c r="QJQ18" s="228"/>
      <c r="QJR18" s="228"/>
      <c r="QJS18" s="226"/>
      <c r="QJT18" s="226"/>
      <c r="QJU18" s="224"/>
      <c r="QJV18" s="225"/>
      <c r="QJW18" s="226"/>
      <c r="QJX18" s="227"/>
      <c r="QJY18" s="228"/>
      <c r="QJZ18" s="228"/>
      <c r="QKA18" s="228"/>
      <c r="QKB18" s="228"/>
      <c r="QKC18" s="228"/>
      <c r="QKD18" s="228"/>
      <c r="QKE18" s="226"/>
      <c r="QKF18" s="226"/>
      <c r="QKG18" s="224"/>
      <c r="QKH18" s="225"/>
      <c r="QKI18" s="226"/>
      <c r="QKJ18" s="227"/>
      <c r="QKK18" s="228"/>
      <c r="QKL18" s="228"/>
      <c r="QKM18" s="228"/>
      <c r="QKN18" s="228"/>
      <c r="QKO18" s="228"/>
      <c r="QKP18" s="228"/>
      <c r="QKQ18" s="226"/>
      <c r="QKR18" s="226"/>
      <c r="QKS18" s="224"/>
      <c r="QKT18" s="225"/>
      <c r="QKU18" s="226"/>
      <c r="QKV18" s="227"/>
      <c r="QKW18" s="228"/>
      <c r="QKX18" s="228"/>
      <c r="QKY18" s="228"/>
      <c r="QKZ18" s="228"/>
      <c r="QLA18" s="228"/>
      <c r="QLB18" s="228"/>
      <c r="QLC18" s="226"/>
      <c r="QLD18" s="226"/>
      <c r="QLE18" s="224"/>
      <c r="QLF18" s="225"/>
      <c r="QLG18" s="226"/>
      <c r="QLH18" s="227"/>
      <c r="QLI18" s="228"/>
      <c r="QLJ18" s="228"/>
      <c r="QLK18" s="228"/>
      <c r="QLL18" s="228"/>
      <c r="QLM18" s="228"/>
      <c r="QLN18" s="228"/>
      <c r="QLO18" s="226"/>
      <c r="QLP18" s="226"/>
      <c r="QLQ18" s="224"/>
      <c r="QLR18" s="225"/>
      <c r="QLS18" s="226"/>
      <c r="QLT18" s="227"/>
      <c r="QLU18" s="228"/>
      <c r="QLV18" s="228"/>
      <c r="QLW18" s="228"/>
      <c r="QLX18" s="228"/>
      <c r="QLY18" s="228"/>
      <c r="QLZ18" s="228"/>
      <c r="QMA18" s="226"/>
      <c r="QMB18" s="226"/>
      <c r="QMC18" s="224"/>
      <c r="QMD18" s="225"/>
      <c r="QME18" s="226"/>
      <c r="QMF18" s="227"/>
      <c r="QMG18" s="228"/>
      <c r="QMH18" s="228"/>
      <c r="QMI18" s="228"/>
      <c r="QMJ18" s="228"/>
      <c r="QMK18" s="228"/>
      <c r="QML18" s="228"/>
      <c r="QMM18" s="226"/>
      <c r="QMN18" s="226"/>
      <c r="QMO18" s="224"/>
      <c r="QMP18" s="225"/>
      <c r="QMQ18" s="226"/>
      <c r="QMR18" s="227"/>
      <c r="QMS18" s="228"/>
      <c r="QMT18" s="228"/>
      <c r="QMU18" s="228"/>
      <c r="QMV18" s="228"/>
      <c r="QMW18" s="228"/>
      <c r="QMX18" s="228"/>
      <c r="QMY18" s="226"/>
      <c r="QMZ18" s="226"/>
      <c r="QNA18" s="224"/>
      <c r="QNB18" s="225"/>
      <c r="QNC18" s="226"/>
      <c r="QND18" s="227"/>
      <c r="QNE18" s="228"/>
      <c r="QNF18" s="228"/>
      <c r="QNG18" s="228"/>
      <c r="QNH18" s="228"/>
      <c r="QNI18" s="228"/>
      <c r="QNJ18" s="228"/>
      <c r="QNK18" s="226"/>
      <c r="QNL18" s="226"/>
      <c r="QNM18" s="224"/>
      <c r="QNN18" s="225"/>
      <c r="QNO18" s="226"/>
      <c r="QNP18" s="227"/>
      <c r="QNQ18" s="228"/>
      <c r="QNR18" s="228"/>
      <c r="QNS18" s="228"/>
      <c r="QNT18" s="228"/>
      <c r="QNU18" s="228"/>
      <c r="QNV18" s="228"/>
      <c r="QNW18" s="226"/>
      <c r="QNX18" s="226"/>
      <c r="QNY18" s="224"/>
      <c r="QNZ18" s="225"/>
      <c r="QOA18" s="226"/>
      <c r="QOB18" s="227"/>
      <c r="QOC18" s="228"/>
      <c r="QOD18" s="228"/>
      <c r="QOE18" s="228"/>
      <c r="QOF18" s="228"/>
      <c r="QOG18" s="228"/>
      <c r="QOH18" s="228"/>
      <c r="QOI18" s="226"/>
      <c r="QOJ18" s="226"/>
      <c r="QOK18" s="224"/>
      <c r="QOL18" s="225"/>
      <c r="QOM18" s="226"/>
      <c r="QON18" s="227"/>
      <c r="QOO18" s="228"/>
      <c r="QOP18" s="228"/>
      <c r="QOQ18" s="228"/>
      <c r="QOR18" s="228"/>
      <c r="QOS18" s="228"/>
      <c r="QOT18" s="228"/>
      <c r="QOU18" s="226"/>
      <c r="QOV18" s="226"/>
      <c r="QOW18" s="224"/>
      <c r="QOX18" s="225"/>
      <c r="QOY18" s="226"/>
      <c r="QOZ18" s="227"/>
      <c r="QPA18" s="228"/>
      <c r="QPB18" s="228"/>
      <c r="QPC18" s="228"/>
      <c r="QPD18" s="228"/>
      <c r="QPE18" s="228"/>
      <c r="QPF18" s="228"/>
      <c r="QPG18" s="226"/>
      <c r="QPH18" s="226"/>
      <c r="QPI18" s="224"/>
      <c r="QPJ18" s="225"/>
      <c r="QPK18" s="226"/>
      <c r="QPL18" s="227"/>
      <c r="QPM18" s="228"/>
      <c r="QPN18" s="228"/>
      <c r="QPO18" s="228"/>
      <c r="QPP18" s="228"/>
      <c r="QPQ18" s="228"/>
      <c r="QPR18" s="228"/>
      <c r="QPS18" s="226"/>
      <c r="QPT18" s="226"/>
      <c r="QPU18" s="224"/>
      <c r="QPV18" s="225"/>
      <c r="QPW18" s="226"/>
      <c r="QPX18" s="227"/>
      <c r="QPY18" s="228"/>
      <c r="QPZ18" s="228"/>
      <c r="QQA18" s="228"/>
      <c r="QQB18" s="228"/>
      <c r="QQC18" s="228"/>
      <c r="QQD18" s="228"/>
      <c r="QQE18" s="226"/>
      <c r="QQF18" s="226"/>
      <c r="QQG18" s="224"/>
      <c r="QQH18" s="225"/>
      <c r="QQI18" s="226"/>
      <c r="QQJ18" s="227"/>
      <c r="QQK18" s="228"/>
      <c r="QQL18" s="228"/>
      <c r="QQM18" s="228"/>
      <c r="QQN18" s="228"/>
      <c r="QQO18" s="228"/>
      <c r="QQP18" s="228"/>
      <c r="QQQ18" s="226"/>
      <c r="QQR18" s="226"/>
      <c r="QQS18" s="224"/>
      <c r="QQT18" s="225"/>
      <c r="QQU18" s="226"/>
      <c r="QQV18" s="227"/>
      <c r="QQW18" s="228"/>
      <c r="QQX18" s="228"/>
      <c r="QQY18" s="228"/>
      <c r="QQZ18" s="228"/>
      <c r="QRA18" s="228"/>
      <c r="QRB18" s="228"/>
      <c r="QRC18" s="226"/>
      <c r="QRD18" s="226"/>
      <c r="QRE18" s="224"/>
      <c r="QRF18" s="225"/>
      <c r="QRG18" s="226"/>
      <c r="QRH18" s="227"/>
      <c r="QRI18" s="228"/>
      <c r="QRJ18" s="228"/>
      <c r="QRK18" s="228"/>
      <c r="QRL18" s="228"/>
      <c r="QRM18" s="228"/>
      <c r="QRN18" s="228"/>
      <c r="QRO18" s="226"/>
      <c r="QRP18" s="226"/>
      <c r="QRQ18" s="224"/>
      <c r="QRR18" s="225"/>
      <c r="QRS18" s="226"/>
      <c r="QRT18" s="227"/>
      <c r="QRU18" s="228"/>
      <c r="QRV18" s="228"/>
      <c r="QRW18" s="228"/>
      <c r="QRX18" s="228"/>
      <c r="QRY18" s="228"/>
      <c r="QRZ18" s="228"/>
      <c r="QSA18" s="226"/>
      <c r="QSB18" s="226"/>
      <c r="QSC18" s="224"/>
      <c r="QSD18" s="225"/>
      <c r="QSE18" s="226"/>
      <c r="QSF18" s="227"/>
      <c r="QSG18" s="228"/>
      <c r="QSH18" s="228"/>
      <c r="QSI18" s="228"/>
      <c r="QSJ18" s="228"/>
      <c r="QSK18" s="228"/>
      <c r="QSL18" s="228"/>
      <c r="QSM18" s="226"/>
      <c r="QSN18" s="226"/>
      <c r="QSO18" s="224"/>
      <c r="QSP18" s="225"/>
      <c r="QSQ18" s="226"/>
      <c r="QSR18" s="227"/>
      <c r="QSS18" s="228"/>
      <c r="QST18" s="228"/>
      <c r="QSU18" s="228"/>
      <c r="QSV18" s="228"/>
      <c r="QSW18" s="228"/>
      <c r="QSX18" s="228"/>
      <c r="QSY18" s="226"/>
      <c r="QSZ18" s="226"/>
      <c r="QTA18" s="224"/>
      <c r="QTB18" s="225"/>
      <c r="QTC18" s="226"/>
      <c r="QTD18" s="227"/>
      <c r="QTE18" s="228"/>
      <c r="QTF18" s="228"/>
      <c r="QTG18" s="228"/>
      <c r="QTH18" s="228"/>
      <c r="QTI18" s="228"/>
      <c r="QTJ18" s="228"/>
      <c r="QTK18" s="226"/>
      <c r="QTL18" s="226"/>
      <c r="QTM18" s="224"/>
      <c r="QTN18" s="225"/>
      <c r="QTO18" s="226"/>
      <c r="QTP18" s="227"/>
      <c r="QTQ18" s="228"/>
      <c r="QTR18" s="228"/>
      <c r="QTS18" s="228"/>
      <c r="QTT18" s="228"/>
      <c r="QTU18" s="228"/>
      <c r="QTV18" s="228"/>
      <c r="QTW18" s="226"/>
      <c r="QTX18" s="226"/>
      <c r="QTY18" s="224"/>
      <c r="QTZ18" s="225"/>
      <c r="QUA18" s="226"/>
      <c r="QUB18" s="227"/>
      <c r="QUC18" s="228"/>
      <c r="QUD18" s="228"/>
      <c r="QUE18" s="228"/>
      <c r="QUF18" s="228"/>
      <c r="QUG18" s="228"/>
      <c r="QUH18" s="228"/>
      <c r="QUI18" s="226"/>
      <c r="QUJ18" s="226"/>
      <c r="QUK18" s="224"/>
      <c r="QUL18" s="225"/>
      <c r="QUM18" s="226"/>
      <c r="QUN18" s="227"/>
      <c r="QUO18" s="228"/>
      <c r="QUP18" s="228"/>
      <c r="QUQ18" s="228"/>
      <c r="QUR18" s="228"/>
      <c r="QUS18" s="228"/>
      <c r="QUT18" s="228"/>
      <c r="QUU18" s="226"/>
      <c r="QUV18" s="226"/>
      <c r="QUW18" s="224"/>
      <c r="QUX18" s="225"/>
      <c r="QUY18" s="226"/>
      <c r="QUZ18" s="227"/>
      <c r="QVA18" s="228"/>
      <c r="QVB18" s="228"/>
      <c r="QVC18" s="228"/>
      <c r="QVD18" s="228"/>
      <c r="QVE18" s="228"/>
      <c r="QVF18" s="228"/>
      <c r="QVG18" s="226"/>
      <c r="QVH18" s="226"/>
      <c r="QVI18" s="224"/>
      <c r="QVJ18" s="225"/>
      <c r="QVK18" s="226"/>
      <c r="QVL18" s="227"/>
      <c r="QVM18" s="228"/>
      <c r="QVN18" s="228"/>
      <c r="QVO18" s="228"/>
      <c r="QVP18" s="228"/>
      <c r="QVQ18" s="228"/>
      <c r="QVR18" s="228"/>
      <c r="QVS18" s="226"/>
      <c r="QVT18" s="226"/>
      <c r="QVU18" s="224"/>
      <c r="QVV18" s="225"/>
      <c r="QVW18" s="226"/>
      <c r="QVX18" s="227"/>
      <c r="QVY18" s="228"/>
      <c r="QVZ18" s="228"/>
      <c r="QWA18" s="228"/>
      <c r="QWB18" s="228"/>
      <c r="QWC18" s="228"/>
      <c r="QWD18" s="228"/>
      <c r="QWE18" s="226"/>
      <c r="QWF18" s="226"/>
      <c r="QWG18" s="224"/>
      <c r="QWH18" s="225"/>
      <c r="QWI18" s="226"/>
      <c r="QWJ18" s="227"/>
      <c r="QWK18" s="228"/>
      <c r="QWL18" s="228"/>
      <c r="QWM18" s="228"/>
      <c r="QWN18" s="228"/>
      <c r="QWO18" s="228"/>
      <c r="QWP18" s="228"/>
      <c r="QWQ18" s="226"/>
      <c r="QWR18" s="226"/>
      <c r="QWS18" s="224"/>
      <c r="QWT18" s="225"/>
      <c r="QWU18" s="226"/>
      <c r="QWV18" s="227"/>
      <c r="QWW18" s="228"/>
      <c r="QWX18" s="228"/>
      <c r="QWY18" s="228"/>
      <c r="QWZ18" s="228"/>
      <c r="QXA18" s="228"/>
      <c r="QXB18" s="228"/>
      <c r="QXC18" s="226"/>
      <c r="QXD18" s="226"/>
      <c r="QXE18" s="224"/>
      <c r="QXF18" s="225"/>
      <c r="QXG18" s="226"/>
      <c r="QXH18" s="227"/>
      <c r="QXI18" s="228"/>
      <c r="QXJ18" s="228"/>
      <c r="QXK18" s="228"/>
      <c r="QXL18" s="228"/>
      <c r="QXM18" s="228"/>
      <c r="QXN18" s="228"/>
      <c r="QXO18" s="226"/>
      <c r="QXP18" s="226"/>
      <c r="QXQ18" s="224"/>
      <c r="QXR18" s="225"/>
      <c r="QXS18" s="226"/>
      <c r="QXT18" s="227"/>
      <c r="QXU18" s="228"/>
      <c r="QXV18" s="228"/>
      <c r="QXW18" s="228"/>
      <c r="QXX18" s="228"/>
      <c r="QXY18" s="228"/>
      <c r="QXZ18" s="228"/>
      <c r="QYA18" s="226"/>
      <c r="QYB18" s="226"/>
      <c r="QYC18" s="224"/>
      <c r="QYD18" s="225"/>
      <c r="QYE18" s="226"/>
      <c r="QYF18" s="227"/>
      <c r="QYG18" s="228"/>
      <c r="QYH18" s="228"/>
      <c r="QYI18" s="228"/>
      <c r="QYJ18" s="228"/>
      <c r="QYK18" s="228"/>
      <c r="QYL18" s="228"/>
      <c r="QYM18" s="226"/>
      <c r="QYN18" s="226"/>
      <c r="QYO18" s="224"/>
      <c r="QYP18" s="225"/>
      <c r="QYQ18" s="226"/>
      <c r="QYR18" s="227"/>
      <c r="QYS18" s="228"/>
      <c r="QYT18" s="228"/>
      <c r="QYU18" s="228"/>
      <c r="QYV18" s="228"/>
      <c r="QYW18" s="228"/>
      <c r="QYX18" s="228"/>
      <c r="QYY18" s="226"/>
      <c r="QYZ18" s="226"/>
      <c r="QZA18" s="224"/>
      <c r="QZB18" s="225"/>
      <c r="QZC18" s="226"/>
      <c r="QZD18" s="227"/>
      <c r="QZE18" s="228"/>
      <c r="QZF18" s="228"/>
      <c r="QZG18" s="228"/>
      <c r="QZH18" s="228"/>
      <c r="QZI18" s="228"/>
      <c r="QZJ18" s="228"/>
      <c r="QZK18" s="226"/>
      <c r="QZL18" s="226"/>
      <c r="QZM18" s="224"/>
      <c r="QZN18" s="225"/>
      <c r="QZO18" s="226"/>
      <c r="QZP18" s="227"/>
      <c r="QZQ18" s="228"/>
      <c r="QZR18" s="228"/>
      <c r="QZS18" s="228"/>
      <c r="QZT18" s="228"/>
      <c r="QZU18" s="228"/>
      <c r="QZV18" s="228"/>
      <c r="QZW18" s="226"/>
      <c r="QZX18" s="226"/>
      <c r="QZY18" s="224"/>
      <c r="QZZ18" s="225"/>
      <c r="RAA18" s="226"/>
      <c r="RAB18" s="227"/>
      <c r="RAC18" s="228"/>
      <c r="RAD18" s="228"/>
      <c r="RAE18" s="228"/>
      <c r="RAF18" s="228"/>
      <c r="RAG18" s="228"/>
      <c r="RAH18" s="228"/>
      <c r="RAI18" s="226"/>
      <c r="RAJ18" s="226"/>
      <c r="RAK18" s="224"/>
      <c r="RAL18" s="225"/>
      <c r="RAM18" s="226"/>
      <c r="RAN18" s="227"/>
      <c r="RAO18" s="228"/>
      <c r="RAP18" s="228"/>
      <c r="RAQ18" s="228"/>
      <c r="RAR18" s="228"/>
      <c r="RAS18" s="228"/>
      <c r="RAT18" s="228"/>
      <c r="RAU18" s="226"/>
      <c r="RAV18" s="226"/>
      <c r="RAW18" s="224"/>
      <c r="RAX18" s="225"/>
      <c r="RAY18" s="226"/>
      <c r="RAZ18" s="227"/>
      <c r="RBA18" s="228"/>
      <c r="RBB18" s="228"/>
      <c r="RBC18" s="228"/>
      <c r="RBD18" s="228"/>
      <c r="RBE18" s="228"/>
      <c r="RBF18" s="228"/>
      <c r="RBG18" s="226"/>
      <c r="RBH18" s="226"/>
      <c r="RBI18" s="224"/>
      <c r="RBJ18" s="225"/>
      <c r="RBK18" s="226"/>
      <c r="RBL18" s="227"/>
      <c r="RBM18" s="228"/>
      <c r="RBN18" s="228"/>
      <c r="RBO18" s="228"/>
      <c r="RBP18" s="228"/>
      <c r="RBQ18" s="228"/>
      <c r="RBR18" s="228"/>
      <c r="RBS18" s="226"/>
      <c r="RBT18" s="226"/>
      <c r="RBU18" s="224"/>
      <c r="RBV18" s="225"/>
      <c r="RBW18" s="226"/>
      <c r="RBX18" s="227"/>
      <c r="RBY18" s="228"/>
      <c r="RBZ18" s="228"/>
      <c r="RCA18" s="228"/>
      <c r="RCB18" s="228"/>
      <c r="RCC18" s="228"/>
      <c r="RCD18" s="228"/>
      <c r="RCE18" s="226"/>
      <c r="RCF18" s="226"/>
      <c r="RCG18" s="224"/>
      <c r="RCH18" s="225"/>
      <c r="RCI18" s="226"/>
      <c r="RCJ18" s="227"/>
      <c r="RCK18" s="228"/>
      <c r="RCL18" s="228"/>
      <c r="RCM18" s="228"/>
      <c r="RCN18" s="228"/>
      <c r="RCO18" s="228"/>
      <c r="RCP18" s="228"/>
      <c r="RCQ18" s="226"/>
      <c r="RCR18" s="226"/>
      <c r="RCS18" s="224"/>
      <c r="RCT18" s="225"/>
      <c r="RCU18" s="226"/>
      <c r="RCV18" s="227"/>
      <c r="RCW18" s="228"/>
      <c r="RCX18" s="228"/>
      <c r="RCY18" s="228"/>
      <c r="RCZ18" s="228"/>
      <c r="RDA18" s="228"/>
      <c r="RDB18" s="228"/>
      <c r="RDC18" s="226"/>
      <c r="RDD18" s="226"/>
      <c r="RDE18" s="224"/>
      <c r="RDF18" s="225"/>
      <c r="RDG18" s="226"/>
      <c r="RDH18" s="227"/>
      <c r="RDI18" s="228"/>
      <c r="RDJ18" s="228"/>
      <c r="RDK18" s="228"/>
      <c r="RDL18" s="228"/>
      <c r="RDM18" s="228"/>
      <c r="RDN18" s="228"/>
      <c r="RDO18" s="226"/>
      <c r="RDP18" s="226"/>
      <c r="RDQ18" s="224"/>
      <c r="RDR18" s="225"/>
      <c r="RDS18" s="226"/>
      <c r="RDT18" s="227"/>
      <c r="RDU18" s="228"/>
      <c r="RDV18" s="228"/>
      <c r="RDW18" s="228"/>
      <c r="RDX18" s="228"/>
      <c r="RDY18" s="228"/>
      <c r="RDZ18" s="228"/>
      <c r="REA18" s="226"/>
      <c r="REB18" s="226"/>
      <c r="REC18" s="224"/>
      <c r="RED18" s="225"/>
      <c r="REE18" s="226"/>
      <c r="REF18" s="227"/>
      <c r="REG18" s="228"/>
      <c r="REH18" s="228"/>
      <c r="REI18" s="228"/>
      <c r="REJ18" s="228"/>
      <c r="REK18" s="228"/>
      <c r="REL18" s="228"/>
      <c r="REM18" s="226"/>
      <c r="REN18" s="226"/>
      <c r="REO18" s="224"/>
      <c r="REP18" s="225"/>
      <c r="REQ18" s="226"/>
      <c r="RER18" s="227"/>
      <c r="RES18" s="228"/>
      <c r="RET18" s="228"/>
      <c r="REU18" s="228"/>
      <c r="REV18" s="228"/>
      <c r="REW18" s="228"/>
      <c r="REX18" s="228"/>
      <c r="REY18" s="226"/>
      <c r="REZ18" s="226"/>
      <c r="RFA18" s="224"/>
      <c r="RFB18" s="225"/>
      <c r="RFC18" s="226"/>
      <c r="RFD18" s="227"/>
      <c r="RFE18" s="228"/>
      <c r="RFF18" s="228"/>
      <c r="RFG18" s="228"/>
      <c r="RFH18" s="228"/>
      <c r="RFI18" s="228"/>
      <c r="RFJ18" s="228"/>
      <c r="RFK18" s="226"/>
      <c r="RFL18" s="226"/>
      <c r="RFM18" s="224"/>
      <c r="RFN18" s="225"/>
      <c r="RFO18" s="226"/>
      <c r="RFP18" s="227"/>
      <c r="RFQ18" s="228"/>
      <c r="RFR18" s="228"/>
      <c r="RFS18" s="228"/>
      <c r="RFT18" s="228"/>
      <c r="RFU18" s="228"/>
      <c r="RFV18" s="228"/>
      <c r="RFW18" s="226"/>
      <c r="RFX18" s="226"/>
      <c r="RFY18" s="224"/>
      <c r="RFZ18" s="225"/>
      <c r="RGA18" s="226"/>
      <c r="RGB18" s="227"/>
      <c r="RGC18" s="228"/>
      <c r="RGD18" s="228"/>
      <c r="RGE18" s="228"/>
      <c r="RGF18" s="228"/>
      <c r="RGG18" s="228"/>
      <c r="RGH18" s="228"/>
      <c r="RGI18" s="226"/>
      <c r="RGJ18" s="226"/>
      <c r="RGK18" s="224"/>
      <c r="RGL18" s="225"/>
      <c r="RGM18" s="226"/>
      <c r="RGN18" s="227"/>
      <c r="RGO18" s="228"/>
      <c r="RGP18" s="228"/>
      <c r="RGQ18" s="228"/>
      <c r="RGR18" s="228"/>
      <c r="RGS18" s="228"/>
      <c r="RGT18" s="228"/>
      <c r="RGU18" s="226"/>
      <c r="RGV18" s="226"/>
      <c r="RGW18" s="224"/>
      <c r="RGX18" s="225"/>
      <c r="RGY18" s="226"/>
      <c r="RGZ18" s="227"/>
      <c r="RHA18" s="228"/>
      <c r="RHB18" s="228"/>
      <c r="RHC18" s="228"/>
      <c r="RHD18" s="228"/>
      <c r="RHE18" s="228"/>
      <c r="RHF18" s="228"/>
      <c r="RHG18" s="226"/>
      <c r="RHH18" s="226"/>
      <c r="RHI18" s="224"/>
      <c r="RHJ18" s="225"/>
      <c r="RHK18" s="226"/>
      <c r="RHL18" s="227"/>
      <c r="RHM18" s="228"/>
      <c r="RHN18" s="228"/>
      <c r="RHO18" s="228"/>
      <c r="RHP18" s="228"/>
      <c r="RHQ18" s="228"/>
      <c r="RHR18" s="228"/>
      <c r="RHS18" s="226"/>
      <c r="RHT18" s="226"/>
      <c r="RHU18" s="224"/>
      <c r="RHV18" s="225"/>
      <c r="RHW18" s="226"/>
      <c r="RHX18" s="227"/>
      <c r="RHY18" s="228"/>
      <c r="RHZ18" s="228"/>
      <c r="RIA18" s="228"/>
      <c r="RIB18" s="228"/>
      <c r="RIC18" s="228"/>
      <c r="RID18" s="228"/>
      <c r="RIE18" s="226"/>
      <c r="RIF18" s="226"/>
      <c r="RIG18" s="224"/>
      <c r="RIH18" s="225"/>
      <c r="RII18" s="226"/>
      <c r="RIJ18" s="227"/>
      <c r="RIK18" s="228"/>
      <c r="RIL18" s="228"/>
      <c r="RIM18" s="228"/>
      <c r="RIN18" s="228"/>
      <c r="RIO18" s="228"/>
      <c r="RIP18" s="228"/>
      <c r="RIQ18" s="226"/>
      <c r="RIR18" s="226"/>
      <c r="RIS18" s="224"/>
      <c r="RIT18" s="225"/>
      <c r="RIU18" s="226"/>
      <c r="RIV18" s="227"/>
      <c r="RIW18" s="228"/>
      <c r="RIX18" s="228"/>
      <c r="RIY18" s="228"/>
      <c r="RIZ18" s="228"/>
      <c r="RJA18" s="228"/>
      <c r="RJB18" s="228"/>
      <c r="RJC18" s="226"/>
      <c r="RJD18" s="226"/>
      <c r="RJE18" s="224"/>
      <c r="RJF18" s="225"/>
      <c r="RJG18" s="226"/>
      <c r="RJH18" s="227"/>
      <c r="RJI18" s="228"/>
      <c r="RJJ18" s="228"/>
      <c r="RJK18" s="228"/>
      <c r="RJL18" s="228"/>
      <c r="RJM18" s="228"/>
      <c r="RJN18" s="228"/>
      <c r="RJO18" s="226"/>
      <c r="RJP18" s="226"/>
      <c r="RJQ18" s="224"/>
      <c r="RJR18" s="225"/>
      <c r="RJS18" s="226"/>
      <c r="RJT18" s="227"/>
      <c r="RJU18" s="228"/>
      <c r="RJV18" s="228"/>
      <c r="RJW18" s="228"/>
      <c r="RJX18" s="228"/>
      <c r="RJY18" s="228"/>
      <c r="RJZ18" s="228"/>
      <c r="RKA18" s="226"/>
      <c r="RKB18" s="226"/>
      <c r="RKC18" s="224"/>
      <c r="RKD18" s="225"/>
      <c r="RKE18" s="226"/>
      <c r="RKF18" s="227"/>
      <c r="RKG18" s="228"/>
      <c r="RKH18" s="228"/>
      <c r="RKI18" s="228"/>
      <c r="RKJ18" s="228"/>
      <c r="RKK18" s="228"/>
      <c r="RKL18" s="228"/>
      <c r="RKM18" s="226"/>
      <c r="RKN18" s="226"/>
      <c r="RKO18" s="224"/>
      <c r="RKP18" s="225"/>
      <c r="RKQ18" s="226"/>
      <c r="RKR18" s="227"/>
      <c r="RKS18" s="228"/>
      <c r="RKT18" s="228"/>
      <c r="RKU18" s="228"/>
      <c r="RKV18" s="228"/>
      <c r="RKW18" s="228"/>
      <c r="RKX18" s="228"/>
      <c r="RKY18" s="226"/>
      <c r="RKZ18" s="226"/>
      <c r="RLA18" s="224"/>
      <c r="RLB18" s="225"/>
      <c r="RLC18" s="226"/>
      <c r="RLD18" s="227"/>
      <c r="RLE18" s="228"/>
      <c r="RLF18" s="228"/>
      <c r="RLG18" s="228"/>
      <c r="RLH18" s="228"/>
      <c r="RLI18" s="228"/>
      <c r="RLJ18" s="228"/>
      <c r="RLK18" s="226"/>
      <c r="RLL18" s="226"/>
      <c r="RLM18" s="224"/>
      <c r="RLN18" s="225"/>
      <c r="RLO18" s="226"/>
      <c r="RLP18" s="227"/>
      <c r="RLQ18" s="228"/>
      <c r="RLR18" s="228"/>
      <c r="RLS18" s="228"/>
      <c r="RLT18" s="228"/>
      <c r="RLU18" s="228"/>
      <c r="RLV18" s="228"/>
      <c r="RLW18" s="226"/>
      <c r="RLX18" s="226"/>
      <c r="RLY18" s="224"/>
      <c r="RLZ18" s="225"/>
      <c r="RMA18" s="226"/>
      <c r="RMB18" s="227"/>
      <c r="RMC18" s="228"/>
      <c r="RMD18" s="228"/>
      <c r="RME18" s="228"/>
      <c r="RMF18" s="228"/>
      <c r="RMG18" s="228"/>
      <c r="RMH18" s="228"/>
      <c r="RMI18" s="226"/>
      <c r="RMJ18" s="226"/>
      <c r="RMK18" s="224"/>
      <c r="RML18" s="225"/>
      <c r="RMM18" s="226"/>
      <c r="RMN18" s="227"/>
      <c r="RMO18" s="228"/>
      <c r="RMP18" s="228"/>
      <c r="RMQ18" s="228"/>
      <c r="RMR18" s="228"/>
      <c r="RMS18" s="228"/>
      <c r="RMT18" s="228"/>
      <c r="RMU18" s="226"/>
      <c r="RMV18" s="226"/>
      <c r="RMW18" s="224"/>
      <c r="RMX18" s="225"/>
      <c r="RMY18" s="226"/>
      <c r="RMZ18" s="227"/>
      <c r="RNA18" s="228"/>
      <c r="RNB18" s="228"/>
      <c r="RNC18" s="228"/>
      <c r="RND18" s="228"/>
      <c r="RNE18" s="228"/>
      <c r="RNF18" s="228"/>
      <c r="RNG18" s="226"/>
      <c r="RNH18" s="226"/>
      <c r="RNI18" s="224"/>
      <c r="RNJ18" s="225"/>
      <c r="RNK18" s="226"/>
      <c r="RNL18" s="227"/>
      <c r="RNM18" s="228"/>
      <c r="RNN18" s="228"/>
      <c r="RNO18" s="228"/>
      <c r="RNP18" s="228"/>
      <c r="RNQ18" s="228"/>
      <c r="RNR18" s="228"/>
      <c r="RNS18" s="226"/>
      <c r="RNT18" s="226"/>
      <c r="RNU18" s="224"/>
      <c r="RNV18" s="225"/>
      <c r="RNW18" s="226"/>
      <c r="RNX18" s="227"/>
      <c r="RNY18" s="228"/>
      <c r="RNZ18" s="228"/>
      <c r="ROA18" s="228"/>
      <c r="ROB18" s="228"/>
      <c r="ROC18" s="228"/>
      <c r="ROD18" s="228"/>
      <c r="ROE18" s="226"/>
      <c r="ROF18" s="226"/>
      <c r="ROG18" s="224"/>
      <c r="ROH18" s="225"/>
      <c r="ROI18" s="226"/>
      <c r="ROJ18" s="227"/>
      <c r="ROK18" s="228"/>
      <c r="ROL18" s="228"/>
      <c r="ROM18" s="228"/>
      <c r="RON18" s="228"/>
      <c r="ROO18" s="228"/>
      <c r="ROP18" s="228"/>
      <c r="ROQ18" s="226"/>
      <c r="ROR18" s="226"/>
      <c r="ROS18" s="224"/>
      <c r="ROT18" s="225"/>
      <c r="ROU18" s="226"/>
      <c r="ROV18" s="227"/>
      <c r="ROW18" s="228"/>
      <c r="ROX18" s="228"/>
      <c r="ROY18" s="228"/>
      <c r="ROZ18" s="228"/>
      <c r="RPA18" s="228"/>
      <c r="RPB18" s="228"/>
      <c r="RPC18" s="226"/>
      <c r="RPD18" s="226"/>
      <c r="RPE18" s="224"/>
      <c r="RPF18" s="225"/>
      <c r="RPG18" s="226"/>
      <c r="RPH18" s="227"/>
      <c r="RPI18" s="228"/>
      <c r="RPJ18" s="228"/>
      <c r="RPK18" s="228"/>
      <c r="RPL18" s="228"/>
      <c r="RPM18" s="228"/>
      <c r="RPN18" s="228"/>
      <c r="RPO18" s="226"/>
      <c r="RPP18" s="226"/>
      <c r="RPQ18" s="224"/>
      <c r="RPR18" s="225"/>
      <c r="RPS18" s="226"/>
      <c r="RPT18" s="227"/>
      <c r="RPU18" s="228"/>
      <c r="RPV18" s="228"/>
      <c r="RPW18" s="228"/>
      <c r="RPX18" s="228"/>
      <c r="RPY18" s="228"/>
      <c r="RPZ18" s="228"/>
      <c r="RQA18" s="226"/>
      <c r="RQB18" s="226"/>
      <c r="RQC18" s="224"/>
      <c r="RQD18" s="225"/>
      <c r="RQE18" s="226"/>
      <c r="RQF18" s="227"/>
      <c r="RQG18" s="228"/>
      <c r="RQH18" s="228"/>
      <c r="RQI18" s="228"/>
      <c r="RQJ18" s="228"/>
      <c r="RQK18" s="228"/>
      <c r="RQL18" s="228"/>
      <c r="RQM18" s="226"/>
      <c r="RQN18" s="226"/>
      <c r="RQO18" s="224"/>
      <c r="RQP18" s="225"/>
      <c r="RQQ18" s="226"/>
      <c r="RQR18" s="227"/>
      <c r="RQS18" s="228"/>
      <c r="RQT18" s="228"/>
      <c r="RQU18" s="228"/>
      <c r="RQV18" s="228"/>
      <c r="RQW18" s="228"/>
      <c r="RQX18" s="228"/>
      <c r="RQY18" s="226"/>
      <c r="RQZ18" s="226"/>
      <c r="RRA18" s="224"/>
      <c r="RRB18" s="225"/>
      <c r="RRC18" s="226"/>
      <c r="RRD18" s="227"/>
      <c r="RRE18" s="228"/>
      <c r="RRF18" s="228"/>
      <c r="RRG18" s="228"/>
      <c r="RRH18" s="228"/>
      <c r="RRI18" s="228"/>
      <c r="RRJ18" s="228"/>
      <c r="RRK18" s="226"/>
      <c r="RRL18" s="226"/>
      <c r="RRM18" s="224"/>
      <c r="RRN18" s="225"/>
      <c r="RRO18" s="226"/>
      <c r="RRP18" s="227"/>
      <c r="RRQ18" s="228"/>
      <c r="RRR18" s="228"/>
      <c r="RRS18" s="228"/>
      <c r="RRT18" s="228"/>
      <c r="RRU18" s="228"/>
      <c r="RRV18" s="228"/>
      <c r="RRW18" s="226"/>
      <c r="RRX18" s="226"/>
      <c r="RRY18" s="224"/>
      <c r="RRZ18" s="225"/>
      <c r="RSA18" s="226"/>
      <c r="RSB18" s="227"/>
      <c r="RSC18" s="228"/>
      <c r="RSD18" s="228"/>
      <c r="RSE18" s="228"/>
      <c r="RSF18" s="228"/>
      <c r="RSG18" s="228"/>
      <c r="RSH18" s="228"/>
      <c r="RSI18" s="226"/>
      <c r="RSJ18" s="226"/>
      <c r="RSK18" s="224"/>
      <c r="RSL18" s="225"/>
      <c r="RSM18" s="226"/>
      <c r="RSN18" s="227"/>
      <c r="RSO18" s="228"/>
      <c r="RSP18" s="228"/>
      <c r="RSQ18" s="228"/>
      <c r="RSR18" s="228"/>
      <c r="RSS18" s="228"/>
      <c r="RST18" s="228"/>
      <c r="RSU18" s="226"/>
      <c r="RSV18" s="226"/>
      <c r="RSW18" s="224"/>
      <c r="RSX18" s="225"/>
      <c r="RSY18" s="226"/>
      <c r="RSZ18" s="227"/>
      <c r="RTA18" s="228"/>
      <c r="RTB18" s="228"/>
      <c r="RTC18" s="228"/>
      <c r="RTD18" s="228"/>
      <c r="RTE18" s="228"/>
      <c r="RTF18" s="228"/>
      <c r="RTG18" s="226"/>
      <c r="RTH18" s="226"/>
      <c r="RTI18" s="224"/>
      <c r="RTJ18" s="225"/>
      <c r="RTK18" s="226"/>
      <c r="RTL18" s="227"/>
      <c r="RTM18" s="228"/>
      <c r="RTN18" s="228"/>
      <c r="RTO18" s="228"/>
      <c r="RTP18" s="228"/>
      <c r="RTQ18" s="228"/>
      <c r="RTR18" s="228"/>
      <c r="RTS18" s="226"/>
      <c r="RTT18" s="226"/>
      <c r="RTU18" s="224"/>
      <c r="RTV18" s="225"/>
      <c r="RTW18" s="226"/>
      <c r="RTX18" s="227"/>
      <c r="RTY18" s="228"/>
      <c r="RTZ18" s="228"/>
      <c r="RUA18" s="228"/>
      <c r="RUB18" s="228"/>
      <c r="RUC18" s="228"/>
      <c r="RUD18" s="228"/>
      <c r="RUE18" s="226"/>
      <c r="RUF18" s="226"/>
      <c r="RUG18" s="224"/>
      <c r="RUH18" s="225"/>
      <c r="RUI18" s="226"/>
      <c r="RUJ18" s="227"/>
      <c r="RUK18" s="228"/>
      <c r="RUL18" s="228"/>
      <c r="RUM18" s="228"/>
      <c r="RUN18" s="228"/>
      <c r="RUO18" s="228"/>
      <c r="RUP18" s="228"/>
      <c r="RUQ18" s="226"/>
      <c r="RUR18" s="226"/>
      <c r="RUS18" s="224"/>
      <c r="RUT18" s="225"/>
      <c r="RUU18" s="226"/>
      <c r="RUV18" s="227"/>
      <c r="RUW18" s="228"/>
      <c r="RUX18" s="228"/>
      <c r="RUY18" s="228"/>
      <c r="RUZ18" s="228"/>
      <c r="RVA18" s="228"/>
      <c r="RVB18" s="228"/>
      <c r="RVC18" s="226"/>
      <c r="RVD18" s="226"/>
      <c r="RVE18" s="224"/>
      <c r="RVF18" s="225"/>
      <c r="RVG18" s="226"/>
      <c r="RVH18" s="227"/>
      <c r="RVI18" s="228"/>
      <c r="RVJ18" s="228"/>
      <c r="RVK18" s="228"/>
      <c r="RVL18" s="228"/>
      <c r="RVM18" s="228"/>
      <c r="RVN18" s="228"/>
      <c r="RVO18" s="226"/>
      <c r="RVP18" s="226"/>
      <c r="RVQ18" s="224"/>
      <c r="RVR18" s="225"/>
      <c r="RVS18" s="226"/>
      <c r="RVT18" s="227"/>
      <c r="RVU18" s="228"/>
      <c r="RVV18" s="228"/>
      <c r="RVW18" s="228"/>
      <c r="RVX18" s="228"/>
      <c r="RVY18" s="228"/>
      <c r="RVZ18" s="228"/>
      <c r="RWA18" s="226"/>
      <c r="RWB18" s="226"/>
      <c r="RWC18" s="224"/>
      <c r="RWD18" s="225"/>
      <c r="RWE18" s="226"/>
      <c r="RWF18" s="227"/>
      <c r="RWG18" s="228"/>
      <c r="RWH18" s="228"/>
      <c r="RWI18" s="228"/>
      <c r="RWJ18" s="228"/>
      <c r="RWK18" s="228"/>
      <c r="RWL18" s="228"/>
      <c r="RWM18" s="226"/>
      <c r="RWN18" s="226"/>
      <c r="RWO18" s="224"/>
      <c r="RWP18" s="225"/>
      <c r="RWQ18" s="226"/>
      <c r="RWR18" s="227"/>
      <c r="RWS18" s="228"/>
      <c r="RWT18" s="228"/>
      <c r="RWU18" s="228"/>
      <c r="RWV18" s="228"/>
      <c r="RWW18" s="228"/>
      <c r="RWX18" s="228"/>
      <c r="RWY18" s="226"/>
      <c r="RWZ18" s="226"/>
      <c r="RXA18" s="224"/>
      <c r="RXB18" s="225"/>
      <c r="RXC18" s="226"/>
      <c r="RXD18" s="227"/>
      <c r="RXE18" s="228"/>
      <c r="RXF18" s="228"/>
      <c r="RXG18" s="228"/>
      <c r="RXH18" s="228"/>
      <c r="RXI18" s="228"/>
      <c r="RXJ18" s="228"/>
      <c r="RXK18" s="226"/>
      <c r="RXL18" s="226"/>
      <c r="RXM18" s="224"/>
      <c r="RXN18" s="225"/>
      <c r="RXO18" s="226"/>
      <c r="RXP18" s="227"/>
      <c r="RXQ18" s="228"/>
      <c r="RXR18" s="228"/>
      <c r="RXS18" s="228"/>
      <c r="RXT18" s="228"/>
      <c r="RXU18" s="228"/>
      <c r="RXV18" s="228"/>
      <c r="RXW18" s="226"/>
      <c r="RXX18" s="226"/>
      <c r="RXY18" s="224"/>
      <c r="RXZ18" s="225"/>
      <c r="RYA18" s="226"/>
      <c r="RYB18" s="227"/>
      <c r="RYC18" s="228"/>
      <c r="RYD18" s="228"/>
      <c r="RYE18" s="228"/>
      <c r="RYF18" s="228"/>
      <c r="RYG18" s="228"/>
      <c r="RYH18" s="228"/>
      <c r="RYI18" s="226"/>
      <c r="RYJ18" s="226"/>
      <c r="RYK18" s="224"/>
      <c r="RYL18" s="225"/>
      <c r="RYM18" s="226"/>
      <c r="RYN18" s="227"/>
      <c r="RYO18" s="228"/>
      <c r="RYP18" s="228"/>
      <c r="RYQ18" s="228"/>
      <c r="RYR18" s="228"/>
      <c r="RYS18" s="228"/>
      <c r="RYT18" s="228"/>
      <c r="RYU18" s="226"/>
      <c r="RYV18" s="226"/>
      <c r="RYW18" s="224"/>
      <c r="RYX18" s="225"/>
      <c r="RYY18" s="226"/>
      <c r="RYZ18" s="227"/>
      <c r="RZA18" s="228"/>
      <c r="RZB18" s="228"/>
      <c r="RZC18" s="228"/>
      <c r="RZD18" s="228"/>
      <c r="RZE18" s="228"/>
      <c r="RZF18" s="228"/>
      <c r="RZG18" s="226"/>
      <c r="RZH18" s="226"/>
      <c r="RZI18" s="224"/>
      <c r="RZJ18" s="225"/>
      <c r="RZK18" s="226"/>
      <c r="RZL18" s="227"/>
      <c r="RZM18" s="228"/>
      <c r="RZN18" s="228"/>
      <c r="RZO18" s="228"/>
      <c r="RZP18" s="228"/>
      <c r="RZQ18" s="228"/>
      <c r="RZR18" s="228"/>
      <c r="RZS18" s="226"/>
      <c r="RZT18" s="226"/>
      <c r="RZU18" s="224"/>
      <c r="RZV18" s="225"/>
      <c r="RZW18" s="226"/>
      <c r="RZX18" s="227"/>
      <c r="RZY18" s="228"/>
      <c r="RZZ18" s="228"/>
      <c r="SAA18" s="228"/>
      <c r="SAB18" s="228"/>
      <c r="SAC18" s="228"/>
      <c r="SAD18" s="228"/>
      <c r="SAE18" s="226"/>
      <c r="SAF18" s="226"/>
      <c r="SAG18" s="224"/>
      <c r="SAH18" s="225"/>
      <c r="SAI18" s="226"/>
      <c r="SAJ18" s="227"/>
      <c r="SAK18" s="228"/>
      <c r="SAL18" s="228"/>
      <c r="SAM18" s="228"/>
      <c r="SAN18" s="228"/>
      <c r="SAO18" s="228"/>
      <c r="SAP18" s="228"/>
      <c r="SAQ18" s="226"/>
      <c r="SAR18" s="226"/>
      <c r="SAS18" s="224"/>
      <c r="SAT18" s="225"/>
      <c r="SAU18" s="226"/>
      <c r="SAV18" s="227"/>
      <c r="SAW18" s="228"/>
      <c r="SAX18" s="228"/>
      <c r="SAY18" s="228"/>
      <c r="SAZ18" s="228"/>
      <c r="SBA18" s="228"/>
      <c r="SBB18" s="228"/>
      <c r="SBC18" s="226"/>
      <c r="SBD18" s="226"/>
      <c r="SBE18" s="224"/>
      <c r="SBF18" s="225"/>
      <c r="SBG18" s="226"/>
      <c r="SBH18" s="227"/>
      <c r="SBI18" s="228"/>
      <c r="SBJ18" s="228"/>
      <c r="SBK18" s="228"/>
      <c r="SBL18" s="228"/>
      <c r="SBM18" s="228"/>
      <c r="SBN18" s="228"/>
      <c r="SBO18" s="226"/>
      <c r="SBP18" s="226"/>
      <c r="SBQ18" s="224"/>
      <c r="SBR18" s="225"/>
      <c r="SBS18" s="226"/>
      <c r="SBT18" s="227"/>
      <c r="SBU18" s="228"/>
      <c r="SBV18" s="228"/>
      <c r="SBW18" s="228"/>
      <c r="SBX18" s="228"/>
      <c r="SBY18" s="228"/>
      <c r="SBZ18" s="228"/>
      <c r="SCA18" s="226"/>
      <c r="SCB18" s="226"/>
      <c r="SCC18" s="224"/>
      <c r="SCD18" s="225"/>
      <c r="SCE18" s="226"/>
      <c r="SCF18" s="227"/>
      <c r="SCG18" s="228"/>
      <c r="SCH18" s="228"/>
      <c r="SCI18" s="228"/>
      <c r="SCJ18" s="228"/>
      <c r="SCK18" s="228"/>
      <c r="SCL18" s="228"/>
      <c r="SCM18" s="226"/>
      <c r="SCN18" s="226"/>
      <c r="SCO18" s="224"/>
      <c r="SCP18" s="225"/>
      <c r="SCQ18" s="226"/>
      <c r="SCR18" s="227"/>
      <c r="SCS18" s="228"/>
      <c r="SCT18" s="228"/>
      <c r="SCU18" s="228"/>
      <c r="SCV18" s="228"/>
      <c r="SCW18" s="228"/>
      <c r="SCX18" s="228"/>
      <c r="SCY18" s="226"/>
      <c r="SCZ18" s="226"/>
      <c r="SDA18" s="224"/>
      <c r="SDB18" s="225"/>
      <c r="SDC18" s="226"/>
      <c r="SDD18" s="227"/>
      <c r="SDE18" s="228"/>
      <c r="SDF18" s="228"/>
      <c r="SDG18" s="228"/>
      <c r="SDH18" s="228"/>
      <c r="SDI18" s="228"/>
      <c r="SDJ18" s="228"/>
      <c r="SDK18" s="226"/>
      <c r="SDL18" s="226"/>
      <c r="SDM18" s="224"/>
      <c r="SDN18" s="225"/>
      <c r="SDO18" s="226"/>
      <c r="SDP18" s="227"/>
      <c r="SDQ18" s="228"/>
      <c r="SDR18" s="228"/>
      <c r="SDS18" s="228"/>
      <c r="SDT18" s="228"/>
      <c r="SDU18" s="228"/>
      <c r="SDV18" s="228"/>
      <c r="SDW18" s="226"/>
      <c r="SDX18" s="226"/>
      <c r="SDY18" s="224"/>
      <c r="SDZ18" s="225"/>
      <c r="SEA18" s="226"/>
      <c r="SEB18" s="227"/>
      <c r="SEC18" s="228"/>
      <c r="SED18" s="228"/>
      <c r="SEE18" s="228"/>
      <c r="SEF18" s="228"/>
      <c r="SEG18" s="228"/>
      <c r="SEH18" s="228"/>
      <c r="SEI18" s="226"/>
      <c r="SEJ18" s="226"/>
      <c r="SEK18" s="224"/>
      <c r="SEL18" s="225"/>
      <c r="SEM18" s="226"/>
      <c r="SEN18" s="227"/>
      <c r="SEO18" s="228"/>
      <c r="SEP18" s="228"/>
      <c r="SEQ18" s="228"/>
      <c r="SER18" s="228"/>
      <c r="SES18" s="228"/>
      <c r="SET18" s="228"/>
      <c r="SEU18" s="226"/>
      <c r="SEV18" s="226"/>
      <c r="SEW18" s="224"/>
      <c r="SEX18" s="225"/>
      <c r="SEY18" s="226"/>
      <c r="SEZ18" s="227"/>
      <c r="SFA18" s="228"/>
      <c r="SFB18" s="228"/>
      <c r="SFC18" s="228"/>
      <c r="SFD18" s="228"/>
      <c r="SFE18" s="228"/>
      <c r="SFF18" s="228"/>
      <c r="SFG18" s="226"/>
      <c r="SFH18" s="226"/>
      <c r="SFI18" s="224"/>
      <c r="SFJ18" s="225"/>
      <c r="SFK18" s="226"/>
      <c r="SFL18" s="227"/>
      <c r="SFM18" s="228"/>
      <c r="SFN18" s="228"/>
      <c r="SFO18" s="228"/>
      <c r="SFP18" s="228"/>
      <c r="SFQ18" s="228"/>
      <c r="SFR18" s="228"/>
      <c r="SFS18" s="226"/>
      <c r="SFT18" s="226"/>
      <c r="SFU18" s="224"/>
      <c r="SFV18" s="225"/>
      <c r="SFW18" s="226"/>
      <c r="SFX18" s="227"/>
      <c r="SFY18" s="228"/>
      <c r="SFZ18" s="228"/>
      <c r="SGA18" s="228"/>
      <c r="SGB18" s="228"/>
      <c r="SGC18" s="228"/>
      <c r="SGD18" s="228"/>
      <c r="SGE18" s="226"/>
      <c r="SGF18" s="226"/>
      <c r="SGG18" s="224"/>
      <c r="SGH18" s="225"/>
      <c r="SGI18" s="226"/>
      <c r="SGJ18" s="227"/>
      <c r="SGK18" s="228"/>
      <c r="SGL18" s="228"/>
      <c r="SGM18" s="228"/>
      <c r="SGN18" s="228"/>
      <c r="SGO18" s="228"/>
      <c r="SGP18" s="228"/>
      <c r="SGQ18" s="226"/>
      <c r="SGR18" s="226"/>
      <c r="SGS18" s="224"/>
      <c r="SGT18" s="225"/>
      <c r="SGU18" s="226"/>
      <c r="SGV18" s="227"/>
      <c r="SGW18" s="228"/>
      <c r="SGX18" s="228"/>
      <c r="SGY18" s="228"/>
      <c r="SGZ18" s="228"/>
      <c r="SHA18" s="228"/>
      <c r="SHB18" s="228"/>
      <c r="SHC18" s="226"/>
      <c r="SHD18" s="226"/>
      <c r="SHE18" s="224"/>
      <c r="SHF18" s="225"/>
      <c r="SHG18" s="226"/>
      <c r="SHH18" s="227"/>
      <c r="SHI18" s="228"/>
      <c r="SHJ18" s="228"/>
      <c r="SHK18" s="228"/>
      <c r="SHL18" s="228"/>
      <c r="SHM18" s="228"/>
      <c r="SHN18" s="228"/>
      <c r="SHO18" s="226"/>
      <c r="SHP18" s="226"/>
      <c r="SHQ18" s="224"/>
      <c r="SHR18" s="225"/>
      <c r="SHS18" s="226"/>
      <c r="SHT18" s="227"/>
      <c r="SHU18" s="228"/>
      <c r="SHV18" s="228"/>
      <c r="SHW18" s="228"/>
      <c r="SHX18" s="228"/>
      <c r="SHY18" s="228"/>
      <c r="SHZ18" s="228"/>
      <c r="SIA18" s="226"/>
      <c r="SIB18" s="226"/>
      <c r="SIC18" s="224"/>
      <c r="SID18" s="225"/>
      <c r="SIE18" s="226"/>
      <c r="SIF18" s="227"/>
      <c r="SIG18" s="228"/>
      <c r="SIH18" s="228"/>
      <c r="SII18" s="228"/>
      <c r="SIJ18" s="228"/>
      <c r="SIK18" s="228"/>
      <c r="SIL18" s="228"/>
      <c r="SIM18" s="226"/>
      <c r="SIN18" s="226"/>
      <c r="SIO18" s="224"/>
      <c r="SIP18" s="225"/>
      <c r="SIQ18" s="226"/>
      <c r="SIR18" s="227"/>
      <c r="SIS18" s="228"/>
      <c r="SIT18" s="228"/>
      <c r="SIU18" s="228"/>
      <c r="SIV18" s="228"/>
      <c r="SIW18" s="228"/>
      <c r="SIX18" s="228"/>
      <c r="SIY18" s="226"/>
      <c r="SIZ18" s="226"/>
      <c r="SJA18" s="224"/>
      <c r="SJB18" s="225"/>
      <c r="SJC18" s="226"/>
      <c r="SJD18" s="227"/>
      <c r="SJE18" s="228"/>
      <c r="SJF18" s="228"/>
      <c r="SJG18" s="228"/>
      <c r="SJH18" s="228"/>
      <c r="SJI18" s="228"/>
      <c r="SJJ18" s="228"/>
      <c r="SJK18" s="226"/>
      <c r="SJL18" s="226"/>
      <c r="SJM18" s="224"/>
      <c r="SJN18" s="225"/>
      <c r="SJO18" s="226"/>
      <c r="SJP18" s="227"/>
      <c r="SJQ18" s="228"/>
      <c r="SJR18" s="228"/>
      <c r="SJS18" s="228"/>
      <c r="SJT18" s="228"/>
      <c r="SJU18" s="228"/>
      <c r="SJV18" s="228"/>
      <c r="SJW18" s="226"/>
      <c r="SJX18" s="226"/>
      <c r="SJY18" s="224"/>
      <c r="SJZ18" s="225"/>
      <c r="SKA18" s="226"/>
      <c r="SKB18" s="227"/>
      <c r="SKC18" s="228"/>
      <c r="SKD18" s="228"/>
      <c r="SKE18" s="228"/>
      <c r="SKF18" s="228"/>
      <c r="SKG18" s="228"/>
      <c r="SKH18" s="228"/>
      <c r="SKI18" s="226"/>
      <c r="SKJ18" s="226"/>
      <c r="SKK18" s="224"/>
      <c r="SKL18" s="225"/>
      <c r="SKM18" s="226"/>
      <c r="SKN18" s="227"/>
      <c r="SKO18" s="228"/>
      <c r="SKP18" s="228"/>
      <c r="SKQ18" s="228"/>
      <c r="SKR18" s="228"/>
      <c r="SKS18" s="228"/>
      <c r="SKT18" s="228"/>
      <c r="SKU18" s="226"/>
      <c r="SKV18" s="226"/>
      <c r="SKW18" s="224"/>
      <c r="SKX18" s="225"/>
      <c r="SKY18" s="226"/>
      <c r="SKZ18" s="227"/>
      <c r="SLA18" s="228"/>
      <c r="SLB18" s="228"/>
      <c r="SLC18" s="228"/>
      <c r="SLD18" s="228"/>
      <c r="SLE18" s="228"/>
      <c r="SLF18" s="228"/>
      <c r="SLG18" s="226"/>
      <c r="SLH18" s="226"/>
      <c r="SLI18" s="224"/>
      <c r="SLJ18" s="225"/>
      <c r="SLK18" s="226"/>
      <c r="SLL18" s="227"/>
      <c r="SLM18" s="228"/>
      <c r="SLN18" s="228"/>
      <c r="SLO18" s="228"/>
      <c r="SLP18" s="228"/>
      <c r="SLQ18" s="228"/>
      <c r="SLR18" s="228"/>
      <c r="SLS18" s="226"/>
      <c r="SLT18" s="226"/>
      <c r="SLU18" s="224"/>
      <c r="SLV18" s="225"/>
      <c r="SLW18" s="226"/>
      <c r="SLX18" s="227"/>
      <c r="SLY18" s="228"/>
      <c r="SLZ18" s="228"/>
      <c r="SMA18" s="228"/>
      <c r="SMB18" s="228"/>
      <c r="SMC18" s="228"/>
      <c r="SMD18" s="228"/>
      <c r="SME18" s="226"/>
      <c r="SMF18" s="226"/>
      <c r="SMG18" s="224"/>
      <c r="SMH18" s="225"/>
      <c r="SMI18" s="226"/>
      <c r="SMJ18" s="227"/>
      <c r="SMK18" s="228"/>
      <c r="SML18" s="228"/>
      <c r="SMM18" s="228"/>
      <c r="SMN18" s="228"/>
      <c r="SMO18" s="228"/>
      <c r="SMP18" s="228"/>
      <c r="SMQ18" s="226"/>
      <c r="SMR18" s="226"/>
      <c r="SMS18" s="224"/>
      <c r="SMT18" s="225"/>
      <c r="SMU18" s="226"/>
      <c r="SMV18" s="227"/>
      <c r="SMW18" s="228"/>
      <c r="SMX18" s="228"/>
      <c r="SMY18" s="228"/>
      <c r="SMZ18" s="228"/>
      <c r="SNA18" s="228"/>
      <c r="SNB18" s="228"/>
      <c r="SNC18" s="226"/>
      <c r="SND18" s="226"/>
      <c r="SNE18" s="224"/>
      <c r="SNF18" s="225"/>
      <c r="SNG18" s="226"/>
      <c r="SNH18" s="227"/>
      <c r="SNI18" s="228"/>
      <c r="SNJ18" s="228"/>
      <c r="SNK18" s="228"/>
      <c r="SNL18" s="228"/>
      <c r="SNM18" s="228"/>
      <c r="SNN18" s="228"/>
      <c r="SNO18" s="226"/>
      <c r="SNP18" s="226"/>
      <c r="SNQ18" s="224"/>
      <c r="SNR18" s="225"/>
      <c r="SNS18" s="226"/>
      <c r="SNT18" s="227"/>
      <c r="SNU18" s="228"/>
      <c r="SNV18" s="228"/>
      <c r="SNW18" s="228"/>
      <c r="SNX18" s="228"/>
      <c r="SNY18" s="228"/>
      <c r="SNZ18" s="228"/>
      <c r="SOA18" s="226"/>
      <c r="SOB18" s="226"/>
      <c r="SOC18" s="224"/>
      <c r="SOD18" s="225"/>
      <c r="SOE18" s="226"/>
      <c r="SOF18" s="227"/>
      <c r="SOG18" s="228"/>
      <c r="SOH18" s="228"/>
      <c r="SOI18" s="228"/>
      <c r="SOJ18" s="228"/>
      <c r="SOK18" s="228"/>
      <c r="SOL18" s="228"/>
      <c r="SOM18" s="226"/>
      <c r="SON18" s="226"/>
      <c r="SOO18" s="224"/>
      <c r="SOP18" s="225"/>
      <c r="SOQ18" s="226"/>
      <c r="SOR18" s="227"/>
      <c r="SOS18" s="228"/>
      <c r="SOT18" s="228"/>
      <c r="SOU18" s="228"/>
      <c r="SOV18" s="228"/>
      <c r="SOW18" s="228"/>
      <c r="SOX18" s="228"/>
      <c r="SOY18" s="226"/>
      <c r="SOZ18" s="226"/>
      <c r="SPA18" s="224"/>
      <c r="SPB18" s="225"/>
      <c r="SPC18" s="226"/>
      <c r="SPD18" s="227"/>
      <c r="SPE18" s="228"/>
      <c r="SPF18" s="228"/>
      <c r="SPG18" s="228"/>
      <c r="SPH18" s="228"/>
      <c r="SPI18" s="228"/>
      <c r="SPJ18" s="228"/>
      <c r="SPK18" s="226"/>
      <c r="SPL18" s="226"/>
      <c r="SPM18" s="224"/>
      <c r="SPN18" s="225"/>
      <c r="SPO18" s="226"/>
      <c r="SPP18" s="227"/>
      <c r="SPQ18" s="228"/>
      <c r="SPR18" s="228"/>
      <c r="SPS18" s="228"/>
      <c r="SPT18" s="228"/>
      <c r="SPU18" s="228"/>
      <c r="SPV18" s="228"/>
      <c r="SPW18" s="226"/>
      <c r="SPX18" s="226"/>
      <c r="SPY18" s="224"/>
      <c r="SPZ18" s="225"/>
      <c r="SQA18" s="226"/>
      <c r="SQB18" s="227"/>
      <c r="SQC18" s="228"/>
      <c r="SQD18" s="228"/>
      <c r="SQE18" s="228"/>
      <c r="SQF18" s="228"/>
      <c r="SQG18" s="228"/>
      <c r="SQH18" s="228"/>
      <c r="SQI18" s="226"/>
      <c r="SQJ18" s="226"/>
      <c r="SQK18" s="224"/>
      <c r="SQL18" s="225"/>
      <c r="SQM18" s="226"/>
      <c r="SQN18" s="227"/>
      <c r="SQO18" s="228"/>
      <c r="SQP18" s="228"/>
      <c r="SQQ18" s="228"/>
      <c r="SQR18" s="228"/>
      <c r="SQS18" s="228"/>
      <c r="SQT18" s="228"/>
      <c r="SQU18" s="226"/>
      <c r="SQV18" s="226"/>
      <c r="SQW18" s="224"/>
      <c r="SQX18" s="225"/>
      <c r="SQY18" s="226"/>
      <c r="SQZ18" s="227"/>
      <c r="SRA18" s="228"/>
      <c r="SRB18" s="228"/>
      <c r="SRC18" s="228"/>
      <c r="SRD18" s="228"/>
      <c r="SRE18" s="228"/>
      <c r="SRF18" s="228"/>
      <c r="SRG18" s="226"/>
      <c r="SRH18" s="226"/>
      <c r="SRI18" s="224"/>
      <c r="SRJ18" s="225"/>
      <c r="SRK18" s="226"/>
      <c r="SRL18" s="227"/>
      <c r="SRM18" s="228"/>
      <c r="SRN18" s="228"/>
      <c r="SRO18" s="228"/>
      <c r="SRP18" s="228"/>
      <c r="SRQ18" s="228"/>
      <c r="SRR18" s="228"/>
      <c r="SRS18" s="226"/>
      <c r="SRT18" s="226"/>
      <c r="SRU18" s="224"/>
      <c r="SRV18" s="225"/>
      <c r="SRW18" s="226"/>
      <c r="SRX18" s="227"/>
      <c r="SRY18" s="228"/>
      <c r="SRZ18" s="228"/>
      <c r="SSA18" s="228"/>
      <c r="SSB18" s="228"/>
      <c r="SSC18" s="228"/>
      <c r="SSD18" s="228"/>
      <c r="SSE18" s="226"/>
      <c r="SSF18" s="226"/>
      <c r="SSG18" s="224"/>
      <c r="SSH18" s="225"/>
      <c r="SSI18" s="226"/>
      <c r="SSJ18" s="227"/>
      <c r="SSK18" s="228"/>
      <c r="SSL18" s="228"/>
      <c r="SSM18" s="228"/>
      <c r="SSN18" s="228"/>
      <c r="SSO18" s="228"/>
      <c r="SSP18" s="228"/>
      <c r="SSQ18" s="226"/>
      <c r="SSR18" s="226"/>
      <c r="SSS18" s="224"/>
      <c r="SST18" s="225"/>
      <c r="SSU18" s="226"/>
      <c r="SSV18" s="227"/>
      <c r="SSW18" s="228"/>
      <c r="SSX18" s="228"/>
      <c r="SSY18" s="228"/>
      <c r="SSZ18" s="228"/>
      <c r="STA18" s="228"/>
      <c r="STB18" s="228"/>
      <c r="STC18" s="226"/>
      <c r="STD18" s="226"/>
      <c r="STE18" s="224"/>
      <c r="STF18" s="225"/>
      <c r="STG18" s="226"/>
      <c r="STH18" s="227"/>
      <c r="STI18" s="228"/>
      <c r="STJ18" s="228"/>
      <c r="STK18" s="228"/>
      <c r="STL18" s="228"/>
      <c r="STM18" s="228"/>
      <c r="STN18" s="228"/>
      <c r="STO18" s="226"/>
      <c r="STP18" s="226"/>
      <c r="STQ18" s="224"/>
      <c r="STR18" s="225"/>
      <c r="STS18" s="226"/>
      <c r="STT18" s="227"/>
      <c r="STU18" s="228"/>
      <c r="STV18" s="228"/>
      <c r="STW18" s="228"/>
      <c r="STX18" s="228"/>
      <c r="STY18" s="228"/>
      <c r="STZ18" s="228"/>
      <c r="SUA18" s="226"/>
      <c r="SUB18" s="226"/>
      <c r="SUC18" s="224"/>
      <c r="SUD18" s="225"/>
      <c r="SUE18" s="226"/>
      <c r="SUF18" s="227"/>
      <c r="SUG18" s="228"/>
      <c r="SUH18" s="228"/>
      <c r="SUI18" s="228"/>
      <c r="SUJ18" s="228"/>
      <c r="SUK18" s="228"/>
      <c r="SUL18" s="228"/>
      <c r="SUM18" s="226"/>
      <c r="SUN18" s="226"/>
      <c r="SUO18" s="224"/>
      <c r="SUP18" s="225"/>
      <c r="SUQ18" s="226"/>
      <c r="SUR18" s="227"/>
      <c r="SUS18" s="228"/>
      <c r="SUT18" s="228"/>
      <c r="SUU18" s="228"/>
      <c r="SUV18" s="228"/>
      <c r="SUW18" s="228"/>
      <c r="SUX18" s="228"/>
      <c r="SUY18" s="226"/>
      <c r="SUZ18" s="226"/>
      <c r="SVA18" s="224"/>
      <c r="SVB18" s="225"/>
      <c r="SVC18" s="226"/>
      <c r="SVD18" s="227"/>
      <c r="SVE18" s="228"/>
      <c r="SVF18" s="228"/>
      <c r="SVG18" s="228"/>
      <c r="SVH18" s="228"/>
      <c r="SVI18" s="228"/>
      <c r="SVJ18" s="228"/>
      <c r="SVK18" s="226"/>
      <c r="SVL18" s="226"/>
      <c r="SVM18" s="224"/>
      <c r="SVN18" s="225"/>
      <c r="SVO18" s="226"/>
      <c r="SVP18" s="227"/>
      <c r="SVQ18" s="228"/>
      <c r="SVR18" s="228"/>
      <c r="SVS18" s="228"/>
      <c r="SVT18" s="228"/>
      <c r="SVU18" s="228"/>
      <c r="SVV18" s="228"/>
      <c r="SVW18" s="226"/>
      <c r="SVX18" s="226"/>
      <c r="SVY18" s="224"/>
      <c r="SVZ18" s="225"/>
      <c r="SWA18" s="226"/>
      <c r="SWB18" s="227"/>
      <c r="SWC18" s="228"/>
      <c r="SWD18" s="228"/>
      <c r="SWE18" s="228"/>
      <c r="SWF18" s="228"/>
      <c r="SWG18" s="228"/>
      <c r="SWH18" s="228"/>
      <c r="SWI18" s="226"/>
      <c r="SWJ18" s="226"/>
      <c r="SWK18" s="224"/>
      <c r="SWL18" s="225"/>
      <c r="SWM18" s="226"/>
      <c r="SWN18" s="227"/>
      <c r="SWO18" s="228"/>
      <c r="SWP18" s="228"/>
      <c r="SWQ18" s="228"/>
      <c r="SWR18" s="228"/>
      <c r="SWS18" s="228"/>
      <c r="SWT18" s="228"/>
      <c r="SWU18" s="226"/>
      <c r="SWV18" s="226"/>
      <c r="SWW18" s="224"/>
      <c r="SWX18" s="225"/>
      <c r="SWY18" s="226"/>
      <c r="SWZ18" s="227"/>
      <c r="SXA18" s="228"/>
      <c r="SXB18" s="228"/>
      <c r="SXC18" s="228"/>
      <c r="SXD18" s="228"/>
      <c r="SXE18" s="228"/>
      <c r="SXF18" s="228"/>
      <c r="SXG18" s="226"/>
      <c r="SXH18" s="226"/>
      <c r="SXI18" s="224"/>
      <c r="SXJ18" s="225"/>
      <c r="SXK18" s="226"/>
      <c r="SXL18" s="227"/>
      <c r="SXM18" s="228"/>
      <c r="SXN18" s="228"/>
      <c r="SXO18" s="228"/>
      <c r="SXP18" s="228"/>
      <c r="SXQ18" s="228"/>
      <c r="SXR18" s="228"/>
      <c r="SXS18" s="226"/>
      <c r="SXT18" s="226"/>
      <c r="SXU18" s="224"/>
      <c r="SXV18" s="225"/>
      <c r="SXW18" s="226"/>
      <c r="SXX18" s="227"/>
      <c r="SXY18" s="228"/>
      <c r="SXZ18" s="228"/>
      <c r="SYA18" s="228"/>
      <c r="SYB18" s="228"/>
      <c r="SYC18" s="228"/>
      <c r="SYD18" s="228"/>
      <c r="SYE18" s="226"/>
      <c r="SYF18" s="226"/>
      <c r="SYG18" s="224"/>
      <c r="SYH18" s="225"/>
      <c r="SYI18" s="226"/>
      <c r="SYJ18" s="227"/>
      <c r="SYK18" s="228"/>
      <c r="SYL18" s="228"/>
      <c r="SYM18" s="228"/>
      <c r="SYN18" s="228"/>
      <c r="SYO18" s="228"/>
      <c r="SYP18" s="228"/>
      <c r="SYQ18" s="226"/>
      <c r="SYR18" s="226"/>
      <c r="SYS18" s="224"/>
      <c r="SYT18" s="225"/>
      <c r="SYU18" s="226"/>
      <c r="SYV18" s="227"/>
      <c r="SYW18" s="228"/>
      <c r="SYX18" s="228"/>
      <c r="SYY18" s="228"/>
      <c r="SYZ18" s="228"/>
      <c r="SZA18" s="228"/>
      <c r="SZB18" s="228"/>
      <c r="SZC18" s="226"/>
      <c r="SZD18" s="226"/>
      <c r="SZE18" s="224"/>
      <c r="SZF18" s="225"/>
      <c r="SZG18" s="226"/>
      <c r="SZH18" s="227"/>
      <c r="SZI18" s="228"/>
      <c r="SZJ18" s="228"/>
      <c r="SZK18" s="228"/>
      <c r="SZL18" s="228"/>
      <c r="SZM18" s="228"/>
      <c r="SZN18" s="228"/>
      <c r="SZO18" s="226"/>
      <c r="SZP18" s="226"/>
      <c r="SZQ18" s="224"/>
      <c r="SZR18" s="225"/>
      <c r="SZS18" s="226"/>
      <c r="SZT18" s="227"/>
      <c r="SZU18" s="228"/>
      <c r="SZV18" s="228"/>
      <c r="SZW18" s="228"/>
      <c r="SZX18" s="228"/>
      <c r="SZY18" s="228"/>
      <c r="SZZ18" s="228"/>
      <c r="TAA18" s="226"/>
      <c r="TAB18" s="226"/>
      <c r="TAC18" s="224"/>
      <c r="TAD18" s="225"/>
      <c r="TAE18" s="226"/>
      <c r="TAF18" s="227"/>
      <c r="TAG18" s="228"/>
      <c r="TAH18" s="228"/>
      <c r="TAI18" s="228"/>
      <c r="TAJ18" s="228"/>
      <c r="TAK18" s="228"/>
      <c r="TAL18" s="228"/>
      <c r="TAM18" s="226"/>
      <c r="TAN18" s="226"/>
      <c r="TAO18" s="224"/>
      <c r="TAP18" s="225"/>
      <c r="TAQ18" s="226"/>
      <c r="TAR18" s="227"/>
      <c r="TAS18" s="228"/>
      <c r="TAT18" s="228"/>
      <c r="TAU18" s="228"/>
      <c r="TAV18" s="228"/>
      <c r="TAW18" s="228"/>
      <c r="TAX18" s="228"/>
      <c r="TAY18" s="226"/>
      <c r="TAZ18" s="226"/>
      <c r="TBA18" s="224"/>
      <c r="TBB18" s="225"/>
      <c r="TBC18" s="226"/>
      <c r="TBD18" s="227"/>
      <c r="TBE18" s="228"/>
      <c r="TBF18" s="228"/>
      <c r="TBG18" s="228"/>
      <c r="TBH18" s="228"/>
      <c r="TBI18" s="228"/>
      <c r="TBJ18" s="228"/>
      <c r="TBK18" s="226"/>
      <c r="TBL18" s="226"/>
      <c r="TBM18" s="224"/>
      <c r="TBN18" s="225"/>
      <c r="TBO18" s="226"/>
      <c r="TBP18" s="227"/>
      <c r="TBQ18" s="228"/>
      <c r="TBR18" s="228"/>
      <c r="TBS18" s="228"/>
      <c r="TBT18" s="228"/>
      <c r="TBU18" s="228"/>
      <c r="TBV18" s="228"/>
      <c r="TBW18" s="226"/>
      <c r="TBX18" s="226"/>
      <c r="TBY18" s="224"/>
      <c r="TBZ18" s="225"/>
      <c r="TCA18" s="226"/>
      <c r="TCB18" s="227"/>
      <c r="TCC18" s="228"/>
      <c r="TCD18" s="228"/>
      <c r="TCE18" s="228"/>
      <c r="TCF18" s="228"/>
      <c r="TCG18" s="228"/>
      <c r="TCH18" s="228"/>
      <c r="TCI18" s="226"/>
      <c r="TCJ18" s="226"/>
      <c r="TCK18" s="224"/>
      <c r="TCL18" s="225"/>
      <c r="TCM18" s="226"/>
      <c r="TCN18" s="227"/>
      <c r="TCO18" s="228"/>
      <c r="TCP18" s="228"/>
      <c r="TCQ18" s="228"/>
      <c r="TCR18" s="228"/>
      <c r="TCS18" s="228"/>
      <c r="TCT18" s="228"/>
      <c r="TCU18" s="226"/>
      <c r="TCV18" s="226"/>
      <c r="TCW18" s="224"/>
      <c r="TCX18" s="225"/>
      <c r="TCY18" s="226"/>
      <c r="TCZ18" s="227"/>
      <c r="TDA18" s="228"/>
      <c r="TDB18" s="228"/>
      <c r="TDC18" s="228"/>
      <c r="TDD18" s="228"/>
      <c r="TDE18" s="228"/>
      <c r="TDF18" s="228"/>
      <c r="TDG18" s="226"/>
      <c r="TDH18" s="226"/>
      <c r="TDI18" s="224"/>
      <c r="TDJ18" s="225"/>
      <c r="TDK18" s="226"/>
      <c r="TDL18" s="227"/>
      <c r="TDM18" s="228"/>
      <c r="TDN18" s="228"/>
      <c r="TDO18" s="228"/>
      <c r="TDP18" s="228"/>
      <c r="TDQ18" s="228"/>
      <c r="TDR18" s="228"/>
      <c r="TDS18" s="226"/>
      <c r="TDT18" s="226"/>
      <c r="TDU18" s="224"/>
      <c r="TDV18" s="225"/>
      <c r="TDW18" s="226"/>
      <c r="TDX18" s="227"/>
      <c r="TDY18" s="228"/>
      <c r="TDZ18" s="228"/>
      <c r="TEA18" s="228"/>
      <c r="TEB18" s="228"/>
      <c r="TEC18" s="228"/>
      <c r="TED18" s="228"/>
      <c r="TEE18" s="226"/>
      <c r="TEF18" s="226"/>
      <c r="TEG18" s="224"/>
      <c r="TEH18" s="225"/>
      <c r="TEI18" s="226"/>
      <c r="TEJ18" s="227"/>
      <c r="TEK18" s="228"/>
      <c r="TEL18" s="228"/>
      <c r="TEM18" s="228"/>
      <c r="TEN18" s="228"/>
      <c r="TEO18" s="228"/>
      <c r="TEP18" s="228"/>
      <c r="TEQ18" s="226"/>
      <c r="TER18" s="226"/>
      <c r="TES18" s="224"/>
      <c r="TET18" s="225"/>
      <c r="TEU18" s="226"/>
      <c r="TEV18" s="227"/>
      <c r="TEW18" s="228"/>
      <c r="TEX18" s="228"/>
      <c r="TEY18" s="228"/>
      <c r="TEZ18" s="228"/>
      <c r="TFA18" s="228"/>
      <c r="TFB18" s="228"/>
      <c r="TFC18" s="226"/>
      <c r="TFD18" s="226"/>
      <c r="TFE18" s="224"/>
      <c r="TFF18" s="225"/>
      <c r="TFG18" s="226"/>
      <c r="TFH18" s="227"/>
      <c r="TFI18" s="228"/>
      <c r="TFJ18" s="228"/>
      <c r="TFK18" s="228"/>
      <c r="TFL18" s="228"/>
      <c r="TFM18" s="228"/>
      <c r="TFN18" s="228"/>
      <c r="TFO18" s="226"/>
      <c r="TFP18" s="226"/>
      <c r="TFQ18" s="224"/>
      <c r="TFR18" s="225"/>
      <c r="TFS18" s="226"/>
      <c r="TFT18" s="227"/>
      <c r="TFU18" s="228"/>
      <c r="TFV18" s="228"/>
      <c r="TFW18" s="228"/>
      <c r="TFX18" s="228"/>
      <c r="TFY18" s="228"/>
      <c r="TFZ18" s="228"/>
      <c r="TGA18" s="226"/>
      <c r="TGB18" s="226"/>
      <c r="TGC18" s="224"/>
      <c r="TGD18" s="225"/>
      <c r="TGE18" s="226"/>
      <c r="TGF18" s="227"/>
      <c r="TGG18" s="228"/>
      <c r="TGH18" s="228"/>
      <c r="TGI18" s="228"/>
      <c r="TGJ18" s="228"/>
      <c r="TGK18" s="228"/>
      <c r="TGL18" s="228"/>
      <c r="TGM18" s="226"/>
      <c r="TGN18" s="226"/>
      <c r="TGO18" s="224"/>
      <c r="TGP18" s="225"/>
      <c r="TGQ18" s="226"/>
      <c r="TGR18" s="227"/>
      <c r="TGS18" s="228"/>
      <c r="TGT18" s="228"/>
      <c r="TGU18" s="228"/>
      <c r="TGV18" s="228"/>
      <c r="TGW18" s="228"/>
      <c r="TGX18" s="228"/>
      <c r="TGY18" s="226"/>
      <c r="TGZ18" s="226"/>
      <c r="THA18" s="224"/>
      <c r="THB18" s="225"/>
      <c r="THC18" s="226"/>
      <c r="THD18" s="227"/>
      <c r="THE18" s="228"/>
      <c r="THF18" s="228"/>
      <c r="THG18" s="228"/>
      <c r="THH18" s="228"/>
      <c r="THI18" s="228"/>
      <c r="THJ18" s="228"/>
      <c r="THK18" s="226"/>
      <c r="THL18" s="226"/>
      <c r="THM18" s="224"/>
      <c r="THN18" s="225"/>
      <c r="THO18" s="226"/>
      <c r="THP18" s="227"/>
      <c r="THQ18" s="228"/>
      <c r="THR18" s="228"/>
      <c r="THS18" s="228"/>
      <c r="THT18" s="228"/>
      <c r="THU18" s="228"/>
      <c r="THV18" s="228"/>
      <c r="THW18" s="226"/>
      <c r="THX18" s="226"/>
      <c r="THY18" s="224"/>
      <c r="THZ18" s="225"/>
      <c r="TIA18" s="226"/>
      <c r="TIB18" s="227"/>
      <c r="TIC18" s="228"/>
      <c r="TID18" s="228"/>
      <c r="TIE18" s="228"/>
      <c r="TIF18" s="228"/>
      <c r="TIG18" s="228"/>
      <c r="TIH18" s="228"/>
      <c r="TII18" s="226"/>
      <c r="TIJ18" s="226"/>
      <c r="TIK18" s="224"/>
      <c r="TIL18" s="225"/>
      <c r="TIM18" s="226"/>
      <c r="TIN18" s="227"/>
      <c r="TIO18" s="228"/>
      <c r="TIP18" s="228"/>
      <c r="TIQ18" s="228"/>
      <c r="TIR18" s="228"/>
      <c r="TIS18" s="228"/>
      <c r="TIT18" s="228"/>
      <c r="TIU18" s="226"/>
      <c r="TIV18" s="226"/>
      <c r="TIW18" s="224"/>
      <c r="TIX18" s="225"/>
      <c r="TIY18" s="226"/>
      <c r="TIZ18" s="227"/>
      <c r="TJA18" s="228"/>
      <c r="TJB18" s="228"/>
      <c r="TJC18" s="228"/>
      <c r="TJD18" s="228"/>
      <c r="TJE18" s="228"/>
      <c r="TJF18" s="228"/>
      <c r="TJG18" s="226"/>
      <c r="TJH18" s="226"/>
      <c r="TJI18" s="224"/>
      <c r="TJJ18" s="225"/>
      <c r="TJK18" s="226"/>
      <c r="TJL18" s="227"/>
      <c r="TJM18" s="228"/>
      <c r="TJN18" s="228"/>
      <c r="TJO18" s="228"/>
      <c r="TJP18" s="228"/>
      <c r="TJQ18" s="228"/>
      <c r="TJR18" s="228"/>
      <c r="TJS18" s="226"/>
      <c r="TJT18" s="226"/>
      <c r="TJU18" s="224"/>
      <c r="TJV18" s="225"/>
      <c r="TJW18" s="226"/>
      <c r="TJX18" s="227"/>
      <c r="TJY18" s="228"/>
      <c r="TJZ18" s="228"/>
      <c r="TKA18" s="228"/>
      <c r="TKB18" s="228"/>
      <c r="TKC18" s="228"/>
      <c r="TKD18" s="228"/>
      <c r="TKE18" s="226"/>
      <c r="TKF18" s="226"/>
      <c r="TKG18" s="224"/>
      <c r="TKH18" s="225"/>
      <c r="TKI18" s="226"/>
      <c r="TKJ18" s="227"/>
      <c r="TKK18" s="228"/>
      <c r="TKL18" s="228"/>
      <c r="TKM18" s="228"/>
      <c r="TKN18" s="228"/>
      <c r="TKO18" s="228"/>
      <c r="TKP18" s="228"/>
      <c r="TKQ18" s="226"/>
      <c r="TKR18" s="226"/>
      <c r="TKS18" s="224"/>
      <c r="TKT18" s="225"/>
      <c r="TKU18" s="226"/>
      <c r="TKV18" s="227"/>
      <c r="TKW18" s="228"/>
      <c r="TKX18" s="228"/>
      <c r="TKY18" s="228"/>
      <c r="TKZ18" s="228"/>
      <c r="TLA18" s="228"/>
      <c r="TLB18" s="228"/>
      <c r="TLC18" s="226"/>
      <c r="TLD18" s="226"/>
      <c r="TLE18" s="224"/>
      <c r="TLF18" s="225"/>
      <c r="TLG18" s="226"/>
      <c r="TLH18" s="227"/>
      <c r="TLI18" s="228"/>
      <c r="TLJ18" s="228"/>
      <c r="TLK18" s="228"/>
      <c r="TLL18" s="228"/>
      <c r="TLM18" s="228"/>
      <c r="TLN18" s="228"/>
      <c r="TLO18" s="226"/>
      <c r="TLP18" s="226"/>
      <c r="TLQ18" s="224"/>
      <c r="TLR18" s="225"/>
      <c r="TLS18" s="226"/>
      <c r="TLT18" s="227"/>
      <c r="TLU18" s="228"/>
      <c r="TLV18" s="228"/>
      <c r="TLW18" s="228"/>
      <c r="TLX18" s="228"/>
      <c r="TLY18" s="228"/>
      <c r="TLZ18" s="228"/>
      <c r="TMA18" s="226"/>
      <c r="TMB18" s="226"/>
      <c r="TMC18" s="224"/>
      <c r="TMD18" s="225"/>
      <c r="TME18" s="226"/>
      <c r="TMF18" s="227"/>
      <c r="TMG18" s="228"/>
      <c r="TMH18" s="228"/>
      <c r="TMI18" s="228"/>
      <c r="TMJ18" s="228"/>
      <c r="TMK18" s="228"/>
      <c r="TML18" s="228"/>
      <c r="TMM18" s="226"/>
      <c r="TMN18" s="226"/>
      <c r="TMO18" s="224"/>
      <c r="TMP18" s="225"/>
      <c r="TMQ18" s="226"/>
      <c r="TMR18" s="227"/>
      <c r="TMS18" s="228"/>
      <c r="TMT18" s="228"/>
      <c r="TMU18" s="228"/>
      <c r="TMV18" s="228"/>
      <c r="TMW18" s="228"/>
      <c r="TMX18" s="228"/>
      <c r="TMY18" s="226"/>
      <c r="TMZ18" s="226"/>
      <c r="TNA18" s="224"/>
      <c r="TNB18" s="225"/>
      <c r="TNC18" s="226"/>
      <c r="TND18" s="227"/>
      <c r="TNE18" s="228"/>
      <c r="TNF18" s="228"/>
      <c r="TNG18" s="228"/>
      <c r="TNH18" s="228"/>
      <c r="TNI18" s="228"/>
      <c r="TNJ18" s="228"/>
      <c r="TNK18" s="226"/>
      <c r="TNL18" s="226"/>
      <c r="TNM18" s="224"/>
      <c r="TNN18" s="225"/>
      <c r="TNO18" s="226"/>
      <c r="TNP18" s="227"/>
      <c r="TNQ18" s="228"/>
      <c r="TNR18" s="228"/>
      <c r="TNS18" s="228"/>
      <c r="TNT18" s="228"/>
      <c r="TNU18" s="228"/>
      <c r="TNV18" s="228"/>
      <c r="TNW18" s="226"/>
      <c r="TNX18" s="226"/>
      <c r="TNY18" s="224"/>
      <c r="TNZ18" s="225"/>
      <c r="TOA18" s="226"/>
      <c r="TOB18" s="227"/>
      <c r="TOC18" s="228"/>
      <c r="TOD18" s="228"/>
      <c r="TOE18" s="228"/>
      <c r="TOF18" s="228"/>
      <c r="TOG18" s="228"/>
      <c r="TOH18" s="228"/>
      <c r="TOI18" s="226"/>
      <c r="TOJ18" s="226"/>
      <c r="TOK18" s="224"/>
      <c r="TOL18" s="225"/>
      <c r="TOM18" s="226"/>
      <c r="TON18" s="227"/>
      <c r="TOO18" s="228"/>
      <c r="TOP18" s="228"/>
      <c r="TOQ18" s="228"/>
      <c r="TOR18" s="228"/>
      <c r="TOS18" s="228"/>
      <c r="TOT18" s="228"/>
      <c r="TOU18" s="226"/>
      <c r="TOV18" s="226"/>
      <c r="TOW18" s="224"/>
      <c r="TOX18" s="225"/>
      <c r="TOY18" s="226"/>
      <c r="TOZ18" s="227"/>
      <c r="TPA18" s="228"/>
      <c r="TPB18" s="228"/>
      <c r="TPC18" s="228"/>
      <c r="TPD18" s="228"/>
      <c r="TPE18" s="228"/>
      <c r="TPF18" s="228"/>
      <c r="TPG18" s="226"/>
      <c r="TPH18" s="226"/>
      <c r="TPI18" s="224"/>
      <c r="TPJ18" s="225"/>
      <c r="TPK18" s="226"/>
      <c r="TPL18" s="227"/>
      <c r="TPM18" s="228"/>
      <c r="TPN18" s="228"/>
      <c r="TPO18" s="228"/>
      <c r="TPP18" s="228"/>
      <c r="TPQ18" s="228"/>
      <c r="TPR18" s="228"/>
      <c r="TPS18" s="226"/>
      <c r="TPT18" s="226"/>
      <c r="TPU18" s="224"/>
      <c r="TPV18" s="225"/>
      <c r="TPW18" s="226"/>
      <c r="TPX18" s="227"/>
      <c r="TPY18" s="228"/>
      <c r="TPZ18" s="228"/>
      <c r="TQA18" s="228"/>
      <c r="TQB18" s="228"/>
      <c r="TQC18" s="228"/>
      <c r="TQD18" s="228"/>
      <c r="TQE18" s="226"/>
      <c r="TQF18" s="226"/>
      <c r="TQG18" s="224"/>
      <c r="TQH18" s="225"/>
      <c r="TQI18" s="226"/>
      <c r="TQJ18" s="227"/>
      <c r="TQK18" s="228"/>
      <c r="TQL18" s="228"/>
      <c r="TQM18" s="228"/>
      <c r="TQN18" s="228"/>
      <c r="TQO18" s="228"/>
      <c r="TQP18" s="228"/>
      <c r="TQQ18" s="226"/>
      <c r="TQR18" s="226"/>
      <c r="TQS18" s="224"/>
      <c r="TQT18" s="225"/>
      <c r="TQU18" s="226"/>
      <c r="TQV18" s="227"/>
      <c r="TQW18" s="228"/>
      <c r="TQX18" s="228"/>
      <c r="TQY18" s="228"/>
      <c r="TQZ18" s="228"/>
      <c r="TRA18" s="228"/>
      <c r="TRB18" s="228"/>
      <c r="TRC18" s="226"/>
      <c r="TRD18" s="226"/>
      <c r="TRE18" s="224"/>
      <c r="TRF18" s="225"/>
      <c r="TRG18" s="226"/>
      <c r="TRH18" s="227"/>
      <c r="TRI18" s="228"/>
      <c r="TRJ18" s="228"/>
      <c r="TRK18" s="228"/>
      <c r="TRL18" s="228"/>
      <c r="TRM18" s="228"/>
      <c r="TRN18" s="228"/>
      <c r="TRO18" s="226"/>
      <c r="TRP18" s="226"/>
      <c r="TRQ18" s="224"/>
      <c r="TRR18" s="225"/>
      <c r="TRS18" s="226"/>
      <c r="TRT18" s="227"/>
      <c r="TRU18" s="228"/>
      <c r="TRV18" s="228"/>
      <c r="TRW18" s="228"/>
      <c r="TRX18" s="228"/>
      <c r="TRY18" s="228"/>
      <c r="TRZ18" s="228"/>
      <c r="TSA18" s="226"/>
      <c r="TSB18" s="226"/>
      <c r="TSC18" s="224"/>
      <c r="TSD18" s="225"/>
      <c r="TSE18" s="226"/>
      <c r="TSF18" s="227"/>
      <c r="TSG18" s="228"/>
      <c r="TSH18" s="228"/>
      <c r="TSI18" s="228"/>
      <c r="TSJ18" s="228"/>
      <c r="TSK18" s="228"/>
      <c r="TSL18" s="228"/>
      <c r="TSM18" s="226"/>
      <c r="TSN18" s="226"/>
      <c r="TSO18" s="224"/>
      <c r="TSP18" s="225"/>
      <c r="TSQ18" s="226"/>
      <c r="TSR18" s="227"/>
      <c r="TSS18" s="228"/>
      <c r="TST18" s="228"/>
      <c r="TSU18" s="228"/>
      <c r="TSV18" s="228"/>
      <c r="TSW18" s="228"/>
      <c r="TSX18" s="228"/>
      <c r="TSY18" s="226"/>
      <c r="TSZ18" s="226"/>
      <c r="TTA18" s="224"/>
      <c r="TTB18" s="225"/>
      <c r="TTC18" s="226"/>
      <c r="TTD18" s="227"/>
      <c r="TTE18" s="228"/>
      <c r="TTF18" s="228"/>
      <c r="TTG18" s="228"/>
      <c r="TTH18" s="228"/>
      <c r="TTI18" s="228"/>
      <c r="TTJ18" s="228"/>
      <c r="TTK18" s="226"/>
      <c r="TTL18" s="226"/>
      <c r="TTM18" s="224"/>
      <c r="TTN18" s="225"/>
      <c r="TTO18" s="226"/>
      <c r="TTP18" s="227"/>
      <c r="TTQ18" s="228"/>
      <c r="TTR18" s="228"/>
      <c r="TTS18" s="228"/>
      <c r="TTT18" s="228"/>
      <c r="TTU18" s="228"/>
      <c r="TTV18" s="228"/>
      <c r="TTW18" s="226"/>
      <c r="TTX18" s="226"/>
      <c r="TTY18" s="224"/>
      <c r="TTZ18" s="225"/>
      <c r="TUA18" s="226"/>
      <c r="TUB18" s="227"/>
      <c r="TUC18" s="228"/>
      <c r="TUD18" s="228"/>
      <c r="TUE18" s="228"/>
      <c r="TUF18" s="228"/>
      <c r="TUG18" s="228"/>
      <c r="TUH18" s="228"/>
      <c r="TUI18" s="226"/>
      <c r="TUJ18" s="226"/>
      <c r="TUK18" s="224"/>
      <c r="TUL18" s="225"/>
      <c r="TUM18" s="226"/>
      <c r="TUN18" s="227"/>
      <c r="TUO18" s="228"/>
      <c r="TUP18" s="228"/>
      <c r="TUQ18" s="228"/>
      <c r="TUR18" s="228"/>
      <c r="TUS18" s="228"/>
      <c r="TUT18" s="228"/>
      <c r="TUU18" s="226"/>
      <c r="TUV18" s="226"/>
      <c r="TUW18" s="224"/>
      <c r="TUX18" s="225"/>
      <c r="TUY18" s="226"/>
      <c r="TUZ18" s="227"/>
      <c r="TVA18" s="228"/>
      <c r="TVB18" s="228"/>
      <c r="TVC18" s="228"/>
      <c r="TVD18" s="228"/>
      <c r="TVE18" s="228"/>
      <c r="TVF18" s="228"/>
      <c r="TVG18" s="226"/>
      <c r="TVH18" s="226"/>
      <c r="TVI18" s="224"/>
      <c r="TVJ18" s="225"/>
      <c r="TVK18" s="226"/>
      <c r="TVL18" s="227"/>
      <c r="TVM18" s="228"/>
      <c r="TVN18" s="228"/>
      <c r="TVO18" s="228"/>
      <c r="TVP18" s="228"/>
      <c r="TVQ18" s="228"/>
      <c r="TVR18" s="228"/>
      <c r="TVS18" s="226"/>
      <c r="TVT18" s="226"/>
      <c r="TVU18" s="224"/>
      <c r="TVV18" s="225"/>
      <c r="TVW18" s="226"/>
      <c r="TVX18" s="227"/>
      <c r="TVY18" s="228"/>
      <c r="TVZ18" s="228"/>
      <c r="TWA18" s="228"/>
      <c r="TWB18" s="228"/>
      <c r="TWC18" s="228"/>
      <c r="TWD18" s="228"/>
      <c r="TWE18" s="226"/>
      <c r="TWF18" s="226"/>
      <c r="TWG18" s="224"/>
      <c r="TWH18" s="225"/>
      <c r="TWI18" s="226"/>
      <c r="TWJ18" s="227"/>
      <c r="TWK18" s="228"/>
      <c r="TWL18" s="228"/>
      <c r="TWM18" s="228"/>
      <c r="TWN18" s="228"/>
      <c r="TWO18" s="228"/>
      <c r="TWP18" s="228"/>
      <c r="TWQ18" s="226"/>
      <c r="TWR18" s="226"/>
      <c r="TWS18" s="224"/>
      <c r="TWT18" s="225"/>
      <c r="TWU18" s="226"/>
      <c r="TWV18" s="227"/>
      <c r="TWW18" s="228"/>
      <c r="TWX18" s="228"/>
      <c r="TWY18" s="228"/>
      <c r="TWZ18" s="228"/>
      <c r="TXA18" s="228"/>
      <c r="TXB18" s="228"/>
      <c r="TXC18" s="226"/>
      <c r="TXD18" s="226"/>
      <c r="TXE18" s="224"/>
      <c r="TXF18" s="225"/>
      <c r="TXG18" s="226"/>
      <c r="TXH18" s="227"/>
      <c r="TXI18" s="228"/>
      <c r="TXJ18" s="228"/>
      <c r="TXK18" s="228"/>
      <c r="TXL18" s="228"/>
      <c r="TXM18" s="228"/>
      <c r="TXN18" s="228"/>
      <c r="TXO18" s="226"/>
      <c r="TXP18" s="226"/>
      <c r="TXQ18" s="224"/>
      <c r="TXR18" s="225"/>
      <c r="TXS18" s="226"/>
      <c r="TXT18" s="227"/>
      <c r="TXU18" s="228"/>
      <c r="TXV18" s="228"/>
      <c r="TXW18" s="228"/>
      <c r="TXX18" s="228"/>
      <c r="TXY18" s="228"/>
      <c r="TXZ18" s="228"/>
      <c r="TYA18" s="226"/>
      <c r="TYB18" s="226"/>
      <c r="TYC18" s="224"/>
      <c r="TYD18" s="225"/>
      <c r="TYE18" s="226"/>
      <c r="TYF18" s="227"/>
      <c r="TYG18" s="228"/>
      <c r="TYH18" s="228"/>
      <c r="TYI18" s="228"/>
      <c r="TYJ18" s="228"/>
      <c r="TYK18" s="228"/>
      <c r="TYL18" s="228"/>
      <c r="TYM18" s="226"/>
      <c r="TYN18" s="226"/>
      <c r="TYO18" s="224"/>
      <c r="TYP18" s="225"/>
      <c r="TYQ18" s="226"/>
      <c r="TYR18" s="227"/>
      <c r="TYS18" s="228"/>
      <c r="TYT18" s="228"/>
      <c r="TYU18" s="228"/>
      <c r="TYV18" s="228"/>
      <c r="TYW18" s="228"/>
      <c r="TYX18" s="228"/>
      <c r="TYY18" s="226"/>
      <c r="TYZ18" s="226"/>
      <c r="TZA18" s="224"/>
      <c r="TZB18" s="225"/>
      <c r="TZC18" s="226"/>
      <c r="TZD18" s="227"/>
      <c r="TZE18" s="228"/>
      <c r="TZF18" s="228"/>
      <c r="TZG18" s="228"/>
      <c r="TZH18" s="228"/>
      <c r="TZI18" s="228"/>
      <c r="TZJ18" s="228"/>
      <c r="TZK18" s="226"/>
      <c r="TZL18" s="226"/>
      <c r="TZM18" s="224"/>
      <c r="TZN18" s="225"/>
      <c r="TZO18" s="226"/>
      <c r="TZP18" s="227"/>
      <c r="TZQ18" s="228"/>
      <c r="TZR18" s="228"/>
      <c r="TZS18" s="228"/>
      <c r="TZT18" s="228"/>
      <c r="TZU18" s="228"/>
      <c r="TZV18" s="228"/>
      <c r="TZW18" s="226"/>
      <c r="TZX18" s="226"/>
      <c r="TZY18" s="224"/>
      <c r="TZZ18" s="225"/>
      <c r="UAA18" s="226"/>
      <c r="UAB18" s="227"/>
      <c r="UAC18" s="228"/>
      <c r="UAD18" s="228"/>
      <c r="UAE18" s="228"/>
      <c r="UAF18" s="228"/>
      <c r="UAG18" s="228"/>
      <c r="UAH18" s="228"/>
      <c r="UAI18" s="226"/>
      <c r="UAJ18" s="226"/>
      <c r="UAK18" s="224"/>
      <c r="UAL18" s="225"/>
      <c r="UAM18" s="226"/>
      <c r="UAN18" s="227"/>
      <c r="UAO18" s="228"/>
      <c r="UAP18" s="228"/>
      <c r="UAQ18" s="228"/>
      <c r="UAR18" s="228"/>
      <c r="UAS18" s="228"/>
      <c r="UAT18" s="228"/>
      <c r="UAU18" s="226"/>
      <c r="UAV18" s="226"/>
      <c r="UAW18" s="224"/>
      <c r="UAX18" s="225"/>
      <c r="UAY18" s="226"/>
      <c r="UAZ18" s="227"/>
      <c r="UBA18" s="228"/>
      <c r="UBB18" s="228"/>
      <c r="UBC18" s="228"/>
      <c r="UBD18" s="228"/>
      <c r="UBE18" s="228"/>
      <c r="UBF18" s="228"/>
      <c r="UBG18" s="226"/>
      <c r="UBH18" s="226"/>
      <c r="UBI18" s="224"/>
      <c r="UBJ18" s="225"/>
      <c r="UBK18" s="226"/>
      <c r="UBL18" s="227"/>
      <c r="UBM18" s="228"/>
      <c r="UBN18" s="228"/>
      <c r="UBO18" s="228"/>
      <c r="UBP18" s="228"/>
      <c r="UBQ18" s="228"/>
      <c r="UBR18" s="228"/>
      <c r="UBS18" s="226"/>
      <c r="UBT18" s="226"/>
      <c r="UBU18" s="224"/>
      <c r="UBV18" s="225"/>
      <c r="UBW18" s="226"/>
      <c r="UBX18" s="227"/>
      <c r="UBY18" s="228"/>
      <c r="UBZ18" s="228"/>
      <c r="UCA18" s="228"/>
      <c r="UCB18" s="228"/>
      <c r="UCC18" s="228"/>
      <c r="UCD18" s="228"/>
      <c r="UCE18" s="226"/>
      <c r="UCF18" s="226"/>
      <c r="UCG18" s="224"/>
      <c r="UCH18" s="225"/>
      <c r="UCI18" s="226"/>
      <c r="UCJ18" s="227"/>
      <c r="UCK18" s="228"/>
      <c r="UCL18" s="228"/>
      <c r="UCM18" s="228"/>
      <c r="UCN18" s="228"/>
      <c r="UCO18" s="228"/>
      <c r="UCP18" s="228"/>
      <c r="UCQ18" s="226"/>
      <c r="UCR18" s="226"/>
      <c r="UCS18" s="224"/>
      <c r="UCT18" s="225"/>
      <c r="UCU18" s="226"/>
      <c r="UCV18" s="227"/>
      <c r="UCW18" s="228"/>
      <c r="UCX18" s="228"/>
      <c r="UCY18" s="228"/>
      <c r="UCZ18" s="228"/>
      <c r="UDA18" s="228"/>
      <c r="UDB18" s="228"/>
      <c r="UDC18" s="226"/>
      <c r="UDD18" s="226"/>
      <c r="UDE18" s="224"/>
      <c r="UDF18" s="225"/>
      <c r="UDG18" s="226"/>
      <c r="UDH18" s="227"/>
      <c r="UDI18" s="228"/>
      <c r="UDJ18" s="228"/>
      <c r="UDK18" s="228"/>
      <c r="UDL18" s="228"/>
      <c r="UDM18" s="228"/>
      <c r="UDN18" s="228"/>
      <c r="UDO18" s="226"/>
      <c r="UDP18" s="226"/>
      <c r="UDQ18" s="224"/>
      <c r="UDR18" s="225"/>
      <c r="UDS18" s="226"/>
      <c r="UDT18" s="227"/>
      <c r="UDU18" s="228"/>
      <c r="UDV18" s="228"/>
      <c r="UDW18" s="228"/>
      <c r="UDX18" s="228"/>
      <c r="UDY18" s="228"/>
      <c r="UDZ18" s="228"/>
      <c r="UEA18" s="226"/>
      <c r="UEB18" s="226"/>
      <c r="UEC18" s="224"/>
      <c r="UED18" s="225"/>
      <c r="UEE18" s="226"/>
      <c r="UEF18" s="227"/>
      <c r="UEG18" s="228"/>
      <c r="UEH18" s="228"/>
      <c r="UEI18" s="228"/>
      <c r="UEJ18" s="228"/>
      <c r="UEK18" s="228"/>
      <c r="UEL18" s="228"/>
      <c r="UEM18" s="226"/>
      <c r="UEN18" s="226"/>
      <c r="UEO18" s="224"/>
      <c r="UEP18" s="225"/>
      <c r="UEQ18" s="226"/>
      <c r="UER18" s="227"/>
      <c r="UES18" s="228"/>
      <c r="UET18" s="228"/>
      <c r="UEU18" s="228"/>
      <c r="UEV18" s="228"/>
      <c r="UEW18" s="228"/>
      <c r="UEX18" s="228"/>
      <c r="UEY18" s="226"/>
      <c r="UEZ18" s="226"/>
      <c r="UFA18" s="224"/>
      <c r="UFB18" s="225"/>
      <c r="UFC18" s="226"/>
      <c r="UFD18" s="227"/>
      <c r="UFE18" s="228"/>
      <c r="UFF18" s="228"/>
      <c r="UFG18" s="228"/>
      <c r="UFH18" s="228"/>
      <c r="UFI18" s="228"/>
      <c r="UFJ18" s="228"/>
      <c r="UFK18" s="226"/>
      <c r="UFL18" s="226"/>
      <c r="UFM18" s="224"/>
      <c r="UFN18" s="225"/>
      <c r="UFO18" s="226"/>
      <c r="UFP18" s="227"/>
      <c r="UFQ18" s="228"/>
      <c r="UFR18" s="228"/>
      <c r="UFS18" s="228"/>
      <c r="UFT18" s="228"/>
      <c r="UFU18" s="228"/>
      <c r="UFV18" s="228"/>
      <c r="UFW18" s="226"/>
      <c r="UFX18" s="226"/>
      <c r="UFY18" s="224"/>
      <c r="UFZ18" s="225"/>
      <c r="UGA18" s="226"/>
      <c r="UGB18" s="227"/>
      <c r="UGC18" s="228"/>
      <c r="UGD18" s="228"/>
      <c r="UGE18" s="228"/>
      <c r="UGF18" s="228"/>
      <c r="UGG18" s="228"/>
      <c r="UGH18" s="228"/>
      <c r="UGI18" s="226"/>
      <c r="UGJ18" s="226"/>
      <c r="UGK18" s="224"/>
      <c r="UGL18" s="225"/>
      <c r="UGM18" s="226"/>
      <c r="UGN18" s="227"/>
      <c r="UGO18" s="228"/>
      <c r="UGP18" s="228"/>
      <c r="UGQ18" s="228"/>
      <c r="UGR18" s="228"/>
      <c r="UGS18" s="228"/>
      <c r="UGT18" s="228"/>
      <c r="UGU18" s="226"/>
      <c r="UGV18" s="226"/>
      <c r="UGW18" s="224"/>
      <c r="UGX18" s="225"/>
      <c r="UGY18" s="226"/>
      <c r="UGZ18" s="227"/>
      <c r="UHA18" s="228"/>
      <c r="UHB18" s="228"/>
      <c r="UHC18" s="228"/>
      <c r="UHD18" s="228"/>
      <c r="UHE18" s="228"/>
      <c r="UHF18" s="228"/>
      <c r="UHG18" s="226"/>
      <c r="UHH18" s="226"/>
      <c r="UHI18" s="224"/>
      <c r="UHJ18" s="225"/>
      <c r="UHK18" s="226"/>
      <c r="UHL18" s="227"/>
      <c r="UHM18" s="228"/>
      <c r="UHN18" s="228"/>
      <c r="UHO18" s="228"/>
      <c r="UHP18" s="228"/>
      <c r="UHQ18" s="228"/>
      <c r="UHR18" s="228"/>
      <c r="UHS18" s="226"/>
      <c r="UHT18" s="226"/>
      <c r="UHU18" s="224"/>
      <c r="UHV18" s="225"/>
      <c r="UHW18" s="226"/>
      <c r="UHX18" s="227"/>
      <c r="UHY18" s="228"/>
      <c r="UHZ18" s="228"/>
      <c r="UIA18" s="228"/>
      <c r="UIB18" s="228"/>
      <c r="UIC18" s="228"/>
      <c r="UID18" s="228"/>
      <c r="UIE18" s="226"/>
      <c r="UIF18" s="226"/>
      <c r="UIG18" s="224"/>
      <c r="UIH18" s="225"/>
      <c r="UII18" s="226"/>
      <c r="UIJ18" s="227"/>
      <c r="UIK18" s="228"/>
      <c r="UIL18" s="228"/>
      <c r="UIM18" s="228"/>
      <c r="UIN18" s="228"/>
      <c r="UIO18" s="228"/>
      <c r="UIP18" s="228"/>
      <c r="UIQ18" s="226"/>
      <c r="UIR18" s="226"/>
      <c r="UIS18" s="224"/>
      <c r="UIT18" s="225"/>
      <c r="UIU18" s="226"/>
      <c r="UIV18" s="227"/>
      <c r="UIW18" s="228"/>
      <c r="UIX18" s="228"/>
      <c r="UIY18" s="228"/>
      <c r="UIZ18" s="228"/>
      <c r="UJA18" s="228"/>
      <c r="UJB18" s="228"/>
      <c r="UJC18" s="226"/>
      <c r="UJD18" s="226"/>
      <c r="UJE18" s="224"/>
      <c r="UJF18" s="225"/>
      <c r="UJG18" s="226"/>
      <c r="UJH18" s="227"/>
      <c r="UJI18" s="228"/>
      <c r="UJJ18" s="228"/>
      <c r="UJK18" s="228"/>
      <c r="UJL18" s="228"/>
      <c r="UJM18" s="228"/>
      <c r="UJN18" s="228"/>
      <c r="UJO18" s="226"/>
      <c r="UJP18" s="226"/>
      <c r="UJQ18" s="224"/>
      <c r="UJR18" s="225"/>
      <c r="UJS18" s="226"/>
      <c r="UJT18" s="227"/>
      <c r="UJU18" s="228"/>
      <c r="UJV18" s="228"/>
      <c r="UJW18" s="228"/>
      <c r="UJX18" s="228"/>
      <c r="UJY18" s="228"/>
      <c r="UJZ18" s="228"/>
      <c r="UKA18" s="226"/>
      <c r="UKB18" s="226"/>
      <c r="UKC18" s="224"/>
      <c r="UKD18" s="225"/>
      <c r="UKE18" s="226"/>
      <c r="UKF18" s="227"/>
      <c r="UKG18" s="228"/>
      <c r="UKH18" s="228"/>
      <c r="UKI18" s="228"/>
      <c r="UKJ18" s="228"/>
      <c r="UKK18" s="228"/>
      <c r="UKL18" s="228"/>
      <c r="UKM18" s="226"/>
      <c r="UKN18" s="226"/>
      <c r="UKO18" s="224"/>
      <c r="UKP18" s="225"/>
      <c r="UKQ18" s="226"/>
      <c r="UKR18" s="227"/>
      <c r="UKS18" s="228"/>
      <c r="UKT18" s="228"/>
      <c r="UKU18" s="228"/>
      <c r="UKV18" s="228"/>
      <c r="UKW18" s="228"/>
      <c r="UKX18" s="228"/>
      <c r="UKY18" s="226"/>
      <c r="UKZ18" s="226"/>
      <c r="ULA18" s="224"/>
      <c r="ULB18" s="225"/>
      <c r="ULC18" s="226"/>
      <c r="ULD18" s="227"/>
      <c r="ULE18" s="228"/>
      <c r="ULF18" s="228"/>
      <c r="ULG18" s="228"/>
      <c r="ULH18" s="228"/>
      <c r="ULI18" s="228"/>
      <c r="ULJ18" s="228"/>
      <c r="ULK18" s="226"/>
      <c r="ULL18" s="226"/>
      <c r="ULM18" s="224"/>
      <c r="ULN18" s="225"/>
      <c r="ULO18" s="226"/>
      <c r="ULP18" s="227"/>
      <c r="ULQ18" s="228"/>
      <c r="ULR18" s="228"/>
      <c r="ULS18" s="228"/>
      <c r="ULT18" s="228"/>
      <c r="ULU18" s="228"/>
      <c r="ULV18" s="228"/>
      <c r="ULW18" s="226"/>
      <c r="ULX18" s="226"/>
      <c r="ULY18" s="224"/>
      <c r="ULZ18" s="225"/>
      <c r="UMA18" s="226"/>
      <c r="UMB18" s="227"/>
      <c r="UMC18" s="228"/>
      <c r="UMD18" s="228"/>
      <c r="UME18" s="228"/>
      <c r="UMF18" s="228"/>
      <c r="UMG18" s="228"/>
      <c r="UMH18" s="228"/>
      <c r="UMI18" s="226"/>
      <c r="UMJ18" s="226"/>
      <c r="UMK18" s="224"/>
      <c r="UML18" s="225"/>
      <c r="UMM18" s="226"/>
      <c r="UMN18" s="227"/>
      <c r="UMO18" s="228"/>
      <c r="UMP18" s="228"/>
      <c r="UMQ18" s="228"/>
      <c r="UMR18" s="228"/>
      <c r="UMS18" s="228"/>
      <c r="UMT18" s="228"/>
      <c r="UMU18" s="226"/>
      <c r="UMV18" s="226"/>
      <c r="UMW18" s="224"/>
      <c r="UMX18" s="225"/>
      <c r="UMY18" s="226"/>
      <c r="UMZ18" s="227"/>
      <c r="UNA18" s="228"/>
      <c r="UNB18" s="228"/>
      <c r="UNC18" s="228"/>
      <c r="UND18" s="228"/>
      <c r="UNE18" s="228"/>
      <c r="UNF18" s="228"/>
      <c r="UNG18" s="226"/>
      <c r="UNH18" s="226"/>
      <c r="UNI18" s="224"/>
      <c r="UNJ18" s="225"/>
      <c r="UNK18" s="226"/>
      <c r="UNL18" s="227"/>
      <c r="UNM18" s="228"/>
      <c r="UNN18" s="228"/>
      <c r="UNO18" s="228"/>
      <c r="UNP18" s="228"/>
      <c r="UNQ18" s="228"/>
      <c r="UNR18" s="228"/>
      <c r="UNS18" s="226"/>
      <c r="UNT18" s="226"/>
      <c r="UNU18" s="224"/>
      <c r="UNV18" s="225"/>
      <c r="UNW18" s="226"/>
      <c r="UNX18" s="227"/>
      <c r="UNY18" s="228"/>
      <c r="UNZ18" s="228"/>
      <c r="UOA18" s="228"/>
      <c r="UOB18" s="228"/>
      <c r="UOC18" s="228"/>
      <c r="UOD18" s="228"/>
      <c r="UOE18" s="226"/>
      <c r="UOF18" s="226"/>
      <c r="UOG18" s="224"/>
      <c r="UOH18" s="225"/>
      <c r="UOI18" s="226"/>
      <c r="UOJ18" s="227"/>
      <c r="UOK18" s="228"/>
      <c r="UOL18" s="228"/>
      <c r="UOM18" s="228"/>
      <c r="UON18" s="228"/>
      <c r="UOO18" s="228"/>
      <c r="UOP18" s="228"/>
      <c r="UOQ18" s="226"/>
      <c r="UOR18" s="226"/>
      <c r="UOS18" s="224"/>
      <c r="UOT18" s="225"/>
      <c r="UOU18" s="226"/>
      <c r="UOV18" s="227"/>
      <c r="UOW18" s="228"/>
      <c r="UOX18" s="228"/>
      <c r="UOY18" s="228"/>
      <c r="UOZ18" s="228"/>
      <c r="UPA18" s="228"/>
      <c r="UPB18" s="228"/>
      <c r="UPC18" s="226"/>
      <c r="UPD18" s="226"/>
      <c r="UPE18" s="224"/>
      <c r="UPF18" s="225"/>
      <c r="UPG18" s="226"/>
      <c r="UPH18" s="227"/>
      <c r="UPI18" s="228"/>
      <c r="UPJ18" s="228"/>
      <c r="UPK18" s="228"/>
      <c r="UPL18" s="228"/>
      <c r="UPM18" s="228"/>
      <c r="UPN18" s="228"/>
      <c r="UPO18" s="226"/>
      <c r="UPP18" s="226"/>
      <c r="UPQ18" s="224"/>
      <c r="UPR18" s="225"/>
      <c r="UPS18" s="226"/>
      <c r="UPT18" s="227"/>
      <c r="UPU18" s="228"/>
      <c r="UPV18" s="228"/>
      <c r="UPW18" s="228"/>
      <c r="UPX18" s="228"/>
      <c r="UPY18" s="228"/>
      <c r="UPZ18" s="228"/>
      <c r="UQA18" s="226"/>
      <c r="UQB18" s="226"/>
      <c r="UQC18" s="224"/>
      <c r="UQD18" s="225"/>
      <c r="UQE18" s="226"/>
      <c r="UQF18" s="227"/>
      <c r="UQG18" s="228"/>
      <c r="UQH18" s="228"/>
      <c r="UQI18" s="228"/>
      <c r="UQJ18" s="228"/>
      <c r="UQK18" s="228"/>
      <c r="UQL18" s="228"/>
      <c r="UQM18" s="226"/>
      <c r="UQN18" s="226"/>
      <c r="UQO18" s="224"/>
      <c r="UQP18" s="225"/>
      <c r="UQQ18" s="226"/>
      <c r="UQR18" s="227"/>
      <c r="UQS18" s="228"/>
      <c r="UQT18" s="228"/>
      <c r="UQU18" s="228"/>
      <c r="UQV18" s="228"/>
      <c r="UQW18" s="228"/>
      <c r="UQX18" s="228"/>
      <c r="UQY18" s="226"/>
      <c r="UQZ18" s="226"/>
      <c r="URA18" s="224"/>
      <c r="URB18" s="225"/>
      <c r="URC18" s="226"/>
      <c r="URD18" s="227"/>
      <c r="URE18" s="228"/>
      <c r="URF18" s="228"/>
      <c r="URG18" s="228"/>
      <c r="URH18" s="228"/>
      <c r="URI18" s="228"/>
      <c r="URJ18" s="228"/>
      <c r="URK18" s="226"/>
      <c r="URL18" s="226"/>
      <c r="URM18" s="224"/>
      <c r="URN18" s="225"/>
      <c r="URO18" s="226"/>
      <c r="URP18" s="227"/>
      <c r="URQ18" s="228"/>
      <c r="URR18" s="228"/>
      <c r="URS18" s="228"/>
      <c r="URT18" s="228"/>
      <c r="URU18" s="228"/>
      <c r="URV18" s="228"/>
      <c r="URW18" s="226"/>
      <c r="URX18" s="226"/>
      <c r="URY18" s="224"/>
      <c r="URZ18" s="225"/>
      <c r="USA18" s="226"/>
      <c r="USB18" s="227"/>
      <c r="USC18" s="228"/>
      <c r="USD18" s="228"/>
      <c r="USE18" s="228"/>
      <c r="USF18" s="228"/>
      <c r="USG18" s="228"/>
      <c r="USH18" s="228"/>
      <c r="USI18" s="226"/>
      <c r="USJ18" s="226"/>
      <c r="USK18" s="224"/>
      <c r="USL18" s="225"/>
      <c r="USM18" s="226"/>
      <c r="USN18" s="227"/>
      <c r="USO18" s="228"/>
      <c r="USP18" s="228"/>
      <c r="USQ18" s="228"/>
      <c r="USR18" s="228"/>
      <c r="USS18" s="228"/>
      <c r="UST18" s="228"/>
      <c r="USU18" s="226"/>
      <c r="USV18" s="226"/>
      <c r="USW18" s="224"/>
      <c r="USX18" s="225"/>
      <c r="USY18" s="226"/>
      <c r="USZ18" s="227"/>
      <c r="UTA18" s="228"/>
      <c r="UTB18" s="228"/>
      <c r="UTC18" s="228"/>
      <c r="UTD18" s="228"/>
      <c r="UTE18" s="228"/>
      <c r="UTF18" s="228"/>
      <c r="UTG18" s="226"/>
      <c r="UTH18" s="226"/>
      <c r="UTI18" s="224"/>
      <c r="UTJ18" s="225"/>
      <c r="UTK18" s="226"/>
      <c r="UTL18" s="227"/>
      <c r="UTM18" s="228"/>
      <c r="UTN18" s="228"/>
      <c r="UTO18" s="228"/>
      <c r="UTP18" s="228"/>
      <c r="UTQ18" s="228"/>
      <c r="UTR18" s="228"/>
      <c r="UTS18" s="226"/>
      <c r="UTT18" s="226"/>
      <c r="UTU18" s="224"/>
      <c r="UTV18" s="225"/>
      <c r="UTW18" s="226"/>
      <c r="UTX18" s="227"/>
      <c r="UTY18" s="228"/>
      <c r="UTZ18" s="228"/>
      <c r="UUA18" s="228"/>
      <c r="UUB18" s="228"/>
      <c r="UUC18" s="228"/>
      <c r="UUD18" s="228"/>
      <c r="UUE18" s="226"/>
      <c r="UUF18" s="226"/>
      <c r="UUG18" s="224"/>
      <c r="UUH18" s="225"/>
      <c r="UUI18" s="226"/>
      <c r="UUJ18" s="227"/>
      <c r="UUK18" s="228"/>
      <c r="UUL18" s="228"/>
      <c r="UUM18" s="228"/>
      <c r="UUN18" s="228"/>
      <c r="UUO18" s="228"/>
      <c r="UUP18" s="228"/>
      <c r="UUQ18" s="226"/>
      <c r="UUR18" s="226"/>
      <c r="UUS18" s="224"/>
      <c r="UUT18" s="225"/>
      <c r="UUU18" s="226"/>
      <c r="UUV18" s="227"/>
      <c r="UUW18" s="228"/>
      <c r="UUX18" s="228"/>
      <c r="UUY18" s="228"/>
      <c r="UUZ18" s="228"/>
      <c r="UVA18" s="228"/>
      <c r="UVB18" s="228"/>
      <c r="UVC18" s="226"/>
      <c r="UVD18" s="226"/>
      <c r="UVE18" s="224"/>
      <c r="UVF18" s="225"/>
      <c r="UVG18" s="226"/>
      <c r="UVH18" s="227"/>
      <c r="UVI18" s="228"/>
      <c r="UVJ18" s="228"/>
      <c r="UVK18" s="228"/>
      <c r="UVL18" s="228"/>
      <c r="UVM18" s="228"/>
      <c r="UVN18" s="228"/>
      <c r="UVO18" s="226"/>
      <c r="UVP18" s="226"/>
      <c r="UVQ18" s="224"/>
      <c r="UVR18" s="225"/>
      <c r="UVS18" s="226"/>
      <c r="UVT18" s="227"/>
      <c r="UVU18" s="228"/>
      <c r="UVV18" s="228"/>
      <c r="UVW18" s="228"/>
      <c r="UVX18" s="228"/>
      <c r="UVY18" s="228"/>
      <c r="UVZ18" s="228"/>
      <c r="UWA18" s="226"/>
      <c r="UWB18" s="226"/>
      <c r="UWC18" s="224"/>
      <c r="UWD18" s="225"/>
      <c r="UWE18" s="226"/>
      <c r="UWF18" s="227"/>
      <c r="UWG18" s="228"/>
      <c r="UWH18" s="228"/>
      <c r="UWI18" s="228"/>
      <c r="UWJ18" s="228"/>
      <c r="UWK18" s="228"/>
      <c r="UWL18" s="228"/>
      <c r="UWM18" s="226"/>
      <c r="UWN18" s="226"/>
      <c r="UWO18" s="224"/>
      <c r="UWP18" s="225"/>
      <c r="UWQ18" s="226"/>
      <c r="UWR18" s="227"/>
      <c r="UWS18" s="228"/>
      <c r="UWT18" s="228"/>
      <c r="UWU18" s="228"/>
      <c r="UWV18" s="228"/>
      <c r="UWW18" s="228"/>
      <c r="UWX18" s="228"/>
      <c r="UWY18" s="226"/>
      <c r="UWZ18" s="226"/>
      <c r="UXA18" s="224"/>
      <c r="UXB18" s="225"/>
      <c r="UXC18" s="226"/>
      <c r="UXD18" s="227"/>
      <c r="UXE18" s="228"/>
      <c r="UXF18" s="228"/>
      <c r="UXG18" s="228"/>
      <c r="UXH18" s="228"/>
      <c r="UXI18" s="228"/>
      <c r="UXJ18" s="228"/>
      <c r="UXK18" s="226"/>
      <c r="UXL18" s="226"/>
      <c r="UXM18" s="224"/>
      <c r="UXN18" s="225"/>
      <c r="UXO18" s="226"/>
      <c r="UXP18" s="227"/>
      <c r="UXQ18" s="228"/>
      <c r="UXR18" s="228"/>
      <c r="UXS18" s="228"/>
      <c r="UXT18" s="228"/>
      <c r="UXU18" s="228"/>
      <c r="UXV18" s="228"/>
      <c r="UXW18" s="226"/>
      <c r="UXX18" s="226"/>
      <c r="UXY18" s="224"/>
      <c r="UXZ18" s="225"/>
      <c r="UYA18" s="226"/>
      <c r="UYB18" s="227"/>
      <c r="UYC18" s="228"/>
      <c r="UYD18" s="228"/>
      <c r="UYE18" s="228"/>
      <c r="UYF18" s="228"/>
      <c r="UYG18" s="228"/>
      <c r="UYH18" s="228"/>
      <c r="UYI18" s="226"/>
      <c r="UYJ18" s="226"/>
      <c r="UYK18" s="224"/>
      <c r="UYL18" s="225"/>
      <c r="UYM18" s="226"/>
      <c r="UYN18" s="227"/>
      <c r="UYO18" s="228"/>
      <c r="UYP18" s="228"/>
      <c r="UYQ18" s="228"/>
      <c r="UYR18" s="228"/>
      <c r="UYS18" s="228"/>
      <c r="UYT18" s="228"/>
      <c r="UYU18" s="226"/>
      <c r="UYV18" s="226"/>
      <c r="UYW18" s="224"/>
      <c r="UYX18" s="225"/>
      <c r="UYY18" s="226"/>
      <c r="UYZ18" s="227"/>
      <c r="UZA18" s="228"/>
      <c r="UZB18" s="228"/>
      <c r="UZC18" s="228"/>
      <c r="UZD18" s="228"/>
      <c r="UZE18" s="228"/>
      <c r="UZF18" s="228"/>
      <c r="UZG18" s="226"/>
      <c r="UZH18" s="226"/>
      <c r="UZI18" s="224"/>
      <c r="UZJ18" s="225"/>
      <c r="UZK18" s="226"/>
      <c r="UZL18" s="227"/>
      <c r="UZM18" s="228"/>
      <c r="UZN18" s="228"/>
      <c r="UZO18" s="228"/>
      <c r="UZP18" s="228"/>
      <c r="UZQ18" s="228"/>
      <c r="UZR18" s="228"/>
      <c r="UZS18" s="226"/>
      <c r="UZT18" s="226"/>
      <c r="UZU18" s="224"/>
      <c r="UZV18" s="225"/>
      <c r="UZW18" s="226"/>
      <c r="UZX18" s="227"/>
      <c r="UZY18" s="228"/>
      <c r="UZZ18" s="228"/>
      <c r="VAA18" s="228"/>
      <c r="VAB18" s="228"/>
      <c r="VAC18" s="228"/>
      <c r="VAD18" s="228"/>
      <c r="VAE18" s="226"/>
      <c r="VAF18" s="226"/>
      <c r="VAG18" s="224"/>
      <c r="VAH18" s="225"/>
      <c r="VAI18" s="226"/>
      <c r="VAJ18" s="227"/>
      <c r="VAK18" s="228"/>
      <c r="VAL18" s="228"/>
      <c r="VAM18" s="228"/>
      <c r="VAN18" s="228"/>
      <c r="VAO18" s="228"/>
      <c r="VAP18" s="228"/>
      <c r="VAQ18" s="226"/>
      <c r="VAR18" s="226"/>
      <c r="VAS18" s="224"/>
      <c r="VAT18" s="225"/>
      <c r="VAU18" s="226"/>
      <c r="VAV18" s="227"/>
      <c r="VAW18" s="228"/>
      <c r="VAX18" s="228"/>
      <c r="VAY18" s="228"/>
      <c r="VAZ18" s="228"/>
      <c r="VBA18" s="228"/>
      <c r="VBB18" s="228"/>
      <c r="VBC18" s="226"/>
      <c r="VBD18" s="226"/>
      <c r="VBE18" s="224"/>
      <c r="VBF18" s="225"/>
      <c r="VBG18" s="226"/>
      <c r="VBH18" s="227"/>
      <c r="VBI18" s="228"/>
      <c r="VBJ18" s="228"/>
      <c r="VBK18" s="228"/>
      <c r="VBL18" s="228"/>
      <c r="VBM18" s="228"/>
      <c r="VBN18" s="228"/>
      <c r="VBO18" s="226"/>
      <c r="VBP18" s="226"/>
      <c r="VBQ18" s="224"/>
      <c r="VBR18" s="225"/>
      <c r="VBS18" s="226"/>
      <c r="VBT18" s="227"/>
      <c r="VBU18" s="228"/>
      <c r="VBV18" s="228"/>
      <c r="VBW18" s="228"/>
      <c r="VBX18" s="228"/>
      <c r="VBY18" s="228"/>
      <c r="VBZ18" s="228"/>
      <c r="VCA18" s="226"/>
      <c r="VCB18" s="226"/>
      <c r="VCC18" s="224"/>
      <c r="VCD18" s="225"/>
      <c r="VCE18" s="226"/>
      <c r="VCF18" s="227"/>
      <c r="VCG18" s="228"/>
      <c r="VCH18" s="228"/>
      <c r="VCI18" s="228"/>
      <c r="VCJ18" s="228"/>
      <c r="VCK18" s="228"/>
      <c r="VCL18" s="228"/>
      <c r="VCM18" s="226"/>
      <c r="VCN18" s="226"/>
      <c r="VCO18" s="224"/>
      <c r="VCP18" s="225"/>
      <c r="VCQ18" s="226"/>
      <c r="VCR18" s="227"/>
      <c r="VCS18" s="228"/>
      <c r="VCT18" s="228"/>
      <c r="VCU18" s="228"/>
      <c r="VCV18" s="228"/>
      <c r="VCW18" s="228"/>
      <c r="VCX18" s="228"/>
      <c r="VCY18" s="226"/>
      <c r="VCZ18" s="226"/>
      <c r="VDA18" s="224"/>
      <c r="VDB18" s="225"/>
      <c r="VDC18" s="226"/>
      <c r="VDD18" s="227"/>
      <c r="VDE18" s="228"/>
      <c r="VDF18" s="228"/>
      <c r="VDG18" s="228"/>
      <c r="VDH18" s="228"/>
      <c r="VDI18" s="228"/>
      <c r="VDJ18" s="228"/>
      <c r="VDK18" s="226"/>
      <c r="VDL18" s="226"/>
      <c r="VDM18" s="224"/>
      <c r="VDN18" s="225"/>
      <c r="VDO18" s="226"/>
      <c r="VDP18" s="227"/>
      <c r="VDQ18" s="228"/>
      <c r="VDR18" s="228"/>
      <c r="VDS18" s="228"/>
      <c r="VDT18" s="228"/>
      <c r="VDU18" s="228"/>
      <c r="VDV18" s="228"/>
      <c r="VDW18" s="226"/>
      <c r="VDX18" s="226"/>
      <c r="VDY18" s="224"/>
      <c r="VDZ18" s="225"/>
      <c r="VEA18" s="226"/>
      <c r="VEB18" s="227"/>
      <c r="VEC18" s="228"/>
      <c r="VED18" s="228"/>
      <c r="VEE18" s="228"/>
      <c r="VEF18" s="228"/>
      <c r="VEG18" s="228"/>
      <c r="VEH18" s="228"/>
      <c r="VEI18" s="226"/>
      <c r="VEJ18" s="226"/>
      <c r="VEK18" s="224"/>
      <c r="VEL18" s="225"/>
      <c r="VEM18" s="226"/>
      <c r="VEN18" s="227"/>
      <c r="VEO18" s="228"/>
      <c r="VEP18" s="228"/>
      <c r="VEQ18" s="228"/>
      <c r="VER18" s="228"/>
      <c r="VES18" s="228"/>
      <c r="VET18" s="228"/>
      <c r="VEU18" s="226"/>
      <c r="VEV18" s="226"/>
      <c r="VEW18" s="224"/>
      <c r="VEX18" s="225"/>
      <c r="VEY18" s="226"/>
      <c r="VEZ18" s="227"/>
      <c r="VFA18" s="228"/>
      <c r="VFB18" s="228"/>
      <c r="VFC18" s="228"/>
      <c r="VFD18" s="228"/>
      <c r="VFE18" s="228"/>
      <c r="VFF18" s="228"/>
      <c r="VFG18" s="226"/>
      <c r="VFH18" s="226"/>
      <c r="VFI18" s="224"/>
      <c r="VFJ18" s="225"/>
      <c r="VFK18" s="226"/>
      <c r="VFL18" s="227"/>
      <c r="VFM18" s="228"/>
      <c r="VFN18" s="228"/>
      <c r="VFO18" s="228"/>
      <c r="VFP18" s="228"/>
      <c r="VFQ18" s="228"/>
      <c r="VFR18" s="228"/>
      <c r="VFS18" s="226"/>
      <c r="VFT18" s="226"/>
      <c r="VFU18" s="224"/>
      <c r="VFV18" s="225"/>
      <c r="VFW18" s="226"/>
      <c r="VFX18" s="227"/>
      <c r="VFY18" s="228"/>
      <c r="VFZ18" s="228"/>
      <c r="VGA18" s="228"/>
      <c r="VGB18" s="228"/>
      <c r="VGC18" s="228"/>
      <c r="VGD18" s="228"/>
      <c r="VGE18" s="226"/>
      <c r="VGF18" s="226"/>
      <c r="VGG18" s="224"/>
      <c r="VGH18" s="225"/>
      <c r="VGI18" s="226"/>
      <c r="VGJ18" s="227"/>
      <c r="VGK18" s="228"/>
      <c r="VGL18" s="228"/>
      <c r="VGM18" s="228"/>
      <c r="VGN18" s="228"/>
      <c r="VGO18" s="228"/>
      <c r="VGP18" s="228"/>
      <c r="VGQ18" s="226"/>
      <c r="VGR18" s="226"/>
      <c r="VGS18" s="224"/>
      <c r="VGT18" s="225"/>
      <c r="VGU18" s="226"/>
      <c r="VGV18" s="227"/>
      <c r="VGW18" s="228"/>
      <c r="VGX18" s="228"/>
      <c r="VGY18" s="228"/>
      <c r="VGZ18" s="228"/>
      <c r="VHA18" s="228"/>
      <c r="VHB18" s="228"/>
      <c r="VHC18" s="226"/>
      <c r="VHD18" s="226"/>
      <c r="VHE18" s="224"/>
      <c r="VHF18" s="225"/>
      <c r="VHG18" s="226"/>
      <c r="VHH18" s="227"/>
      <c r="VHI18" s="228"/>
      <c r="VHJ18" s="228"/>
      <c r="VHK18" s="228"/>
      <c r="VHL18" s="228"/>
      <c r="VHM18" s="228"/>
      <c r="VHN18" s="228"/>
      <c r="VHO18" s="226"/>
      <c r="VHP18" s="226"/>
      <c r="VHQ18" s="224"/>
      <c r="VHR18" s="225"/>
      <c r="VHS18" s="226"/>
      <c r="VHT18" s="227"/>
      <c r="VHU18" s="228"/>
      <c r="VHV18" s="228"/>
      <c r="VHW18" s="228"/>
      <c r="VHX18" s="228"/>
      <c r="VHY18" s="228"/>
      <c r="VHZ18" s="228"/>
      <c r="VIA18" s="226"/>
      <c r="VIB18" s="226"/>
      <c r="VIC18" s="224"/>
      <c r="VID18" s="225"/>
      <c r="VIE18" s="226"/>
      <c r="VIF18" s="227"/>
      <c r="VIG18" s="228"/>
      <c r="VIH18" s="228"/>
      <c r="VII18" s="228"/>
      <c r="VIJ18" s="228"/>
      <c r="VIK18" s="228"/>
      <c r="VIL18" s="228"/>
      <c r="VIM18" s="226"/>
      <c r="VIN18" s="226"/>
      <c r="VIO18" s="224"/>
      <c r="VIP18" s="225"/>
      <c r="VIQ18" s="226"/>
      <c r="VIR18" s="227"/>
      <c r="VIS18" s="228"/>
      <c r="VIT18" s="228"/>
      <c r="VIU18" s="228"/>
      <c r="VIV18" s="228"/>
      <c r="VIW18" s="228"/>
      <c r="VIX18" s="228"/>
      <c r="VIY18" s="226"/>
      <c r="VIZ18" s="226"/>
      <c r="VJA18" s="224"/>
      <c r="VJB18" s="225"/>
      <c r="VJC18" s="226"/>
      <c r="VJD18" s="227"/>
      <c r="VJE18" s="228"/>
      <c r="VJF18" s="228"/>
      <c r="VJG18" s="228"/>
      <c r="VJH18" s="228"/>
      <c r="VJI18" s="228"/>
      <c r="VJJ18" s="228"/>
      <c r="VJK18" s="226"/>
      <c r="VJL18" s="226"/>
      <c r="VJM18" s="224"/>
      <c r="VJN18" s="225"/>
      <c r="VJO18" s="226"/>
      <c r="VJP18" s="227"/>
      <c r="VJQ18" s="228"/>
      <c r="VJR18" s="228"/>
      <c r="VJS18" s="228"/>
      <c r="VJT18" s="228"/>
      <c r="VJU18" s="228"/>
      <c r="VJV18" s="228"/>
      <c r="VJW18" s="226"/>
      <c r="VJX18" s="226"/>
      <c r="VJY18" s="224"/>
      <c r="VJZ18" s="225"/>
      <c r="VKA18" s="226"/>
      <c r="VKB18" s="227"/>
      <c r="VKC18" s="228"/>
      <c r="VKD18" s="228"/>
      <c r="VKE18" s="228"/>
      <c r="VKF18" s="228"/>
      <c r="VKG18" s="228"/>
      <c r="VKH18" s="228"/>
      <c r="VKI18" s="226"/>
      <c r="VKJ18" s="226"/>
      <c r="VKK18" s="224"/>
      <c r="VKL18" s="225"/>
      <c r="VKM18" s="226"/>
      <c r="VKN18" s="227"/>
      <c r="VKO18" s="228"/>
      <c r="VKP18" s="228"/>
      <c r="VKQ18" s="228"/>
      <c r="VKR18" s="228"/>
      <c r="VKS18" s="228"/>
      <c r="VKT18" s="228"/>
      <c r="VKU18" s="226"/>
      <c r="VKV18" s="226"/>
      <c r="VKW18" s="224"/>
      <c r="VKX18" s="225"/>
      <c r="VKY18" s="226"/>
      <c r="VKZ18" s="227"/>
      <c r="VLA18" s="228"/>
      <c r="VLB18" s="228"/>
      <c r="VLC18" s="228"/>
      <c r="VLD18" s="228"/>
      <c r="VLE18" s="228"/>
      <c r="VLF18" s="228"/>
      <c r="VLG18" s="226"/>
      <c r="VLH18" s="226"/>
      <c r="VLI18" s="224"/>
      <c r="VLJ18" s="225"/>
      <c r="VLK18" s="226"/>
      <c r="VLL18" s="227"/>
      <c r="VLM18" s="228"/>
      <c r="VLN18" s="228"/>
      <c r="VLO18" s="228"/>
      <c r="VLP18" s="228"/>
      <c r="VLQ18" s="228"/>
      <c r="VLR18" s="228"/>
      <c r="VLS18" s="226"/>
      <c r="VLT18" s="226"/>
      <c r="VLU18" s="224"/>
      <c r="VLV18" s="225"/>
      <c r="VLW18" s="226"/>
      <c r="VLX18" s="227"/>
      <c r="VLY18" s="228"/>
      <c r="VLZ18" s="228"/>
      <c r="VMA18" s="228"/>
      <c r="VMB18" s="228"/>
      <c r="VMC18" s="228"/>
      <c r="VMD18" s="228"/>
      <c r="VME18" s="226"/>
      <c r="VMF18" s="226"/>
      <c r="VMG18" s="224"/>
      <c r="VMH18" s="225"/>
      <c r="VMI18" s="226"/>
      <c r="VMJ18" s="227"/>
      <c r="VMK18" s="228"/>
      <c r="VML18" s="228"/>
      <c r="VMM18" s="228"/>
      <c r="VMN18" s="228"/>
      <c r="VMO18" s="228"/>
      <c r="VMP18" s="228"/>
      <c r="VMQ18" s="226"/>
      <c r="VMR18" s="226"/>
      <c r="VMS18" s="224"/>
      <c r="VMT18" s="225"/>
      <c r="VMU18" s="226"/>
      <c r="VMV18" s="227"/>
      <c r="VMW18" s="228"/>
      <c r="VMX18" s="228"/>
      <c r="VMY18" s="228"/>
      <c r="VMZ18" s="228"/>
      <c r="VNA18" s="228"/>
      <c r="VNB18" s="228"/>
      <c r="VNC18" s="226"/>
      <c r="VND18" s="226"/>
      <c r="VNE18" s="224"/>
      <c r="VNF18" s="225"/>
      <c r="VNG18" s="226"/>
      <c r="VNH18" s="227"/>
      <c r="VNI18" s="228"/>
      <c r="VNJ18" s="228"/>
      <c r="VNK18" s="228"/>
      <c r="VNL18" s="228"/>
      <c r="VNM18" s="228"/>
      <c r="VNN18" s="228"/>
      <c r="VNO18" s="226"/>
      <c r="VNP18" s="226"/>
      <c r="VNQ18" s="224"/>
      <c r="VNR18" s="225"/>
      <c r="VNS18" s="226"/>
      <c r="VNT18" s="227"/>
      <c r="VNU18" s="228"/>
      <c r="VNV18" s="228"/>
      <c r="VNW18" s="228"/>
      <c r="VNX18" s="228"/>
      <c r="VNY18" s="228"/>
      <c r="VNZ18" s="228"/>
      <c r="VOA18" s="226"/>
      <c r="VOB18" s="226"/>
      <c r="VOC18" s="224"/>
      <c r="VOD18" s="225"/>
      <c r="VOE18" s="226"/>
      <c r="VOF18" s="227"/>
      <c r="VOG18" s="228"/>
      <c r="VOH18" s="228"/>
      <c r="VOI18" s="228"/>
      <c r="VOJ18" s="228"/>
      <c r="VOK18" s="228"/>
      <c r="VOL18" s="228"/>
      <c r="VOM18" s="226"/>
      <c r="VON18" s="226"/>
      <c r="VOO18" s="224"/>
      <c r="VOP18" s="225"/>
      <c r="VOQ18" s="226"/>
      <c r="VOR18" s="227"/>
      <c r="VOS18" s="228"/>
      <c r="VOT18" s="228"/>
      <c r="VOU18" s="228"/>
      <c r="VOV18" s="228"/>
      <c r="VOW18" s="228"/>
      <c r="VOX18" s="228"/>
      <c r="VOY18" s="226"/>
      <c r="VOZ18" s="226"/>
      <c r="VPA18" s="224"/>
      <c r="VPB18" s="225"/>
      <c r="VPC18" s="226"/>
      <c r="VPD18" s="227"/>
      <c r="VPE18" s="228"/>
      <c r="VPF18" s="228"/>
      <c r="VPG18" s="228"/>
      <c r="VPH18" s="228"/>
      <c r="VPI18" s="228"/>
      <c r="VPJ18" s="228"/>
      <c r="VPK18" s="226"/>
      <c r="VPL18" s="226"/>
      <c r="VPM18" s="224"/>
      <c r="VPN18" s="225"/>
      <c r="VPO18" s="226"/>
      <c r="VPP18" s="227"/>
      <c r="VPQ18" s="228"/>
      <c r="VPR18" s="228"/>
      <c r="VPS18" s="228"/>
      <c r="VPT18" s="228"/>
      <c r="VPU18" s="228"/>
      <c r="VPV18" s="228"/>
      <c r="VPW18" s="226"/>
      <c r="VPX18" s="226"/>
      <c r="VPY18" s="224"/>
      <c r="VPZ18" s="225"/>
      <c r="VQA18" s="226"/>
      <c r="VQB18" s="227"/>
      <c r="VQC18" s="228"/>
      <c r="VQD18" s="228"/>
      <c r="VQE18" s="228"/>
      <c r="VQF18" s="228"/>
      <c r="VQG18" s="228"/>
      <c r="VQH18" s="228"/>
      <c r="VQI18" s="226"/>
      <c r="VQJ18" s="226"/>
      <c r="VQK18" s="224"/>
      <c r="VQL18" s="225"/>
      <c r="VQM18" s="226"/>
      <c r="VQN18" s="227"/>
      <c r="VQO18" s="228"/>
      <c r="VQP18" s="228"/>
      <c r="VQQ18" s="228"/>
      <c r="VQR18" s="228"/>
      <c r="VQS18" s="228"/>
      <c r="VQT18" s="228"/>
      <c r="VQU18" s="226"/>
      <c r="VQV18" s="226"/>
      <c r="VQW18" s="224"/>
      <c r="VQX18" s="225"/>
      <c r="VQY18" s="226"/>
      <c r="VQZ18" s="227"/>
      <c r="VRA18" s="228"/>
      <c r="VRB18" s="228"/>
      <c r="VRC18" s="228"/>
      <c r="VRD18" s="228"/>
      <c r="VRE18" s="228"/>
      <c r="VRF18" s="228"/>
      <c r="VRG18" s="226"/>
      <c r="VRH18" s="226"/>
      <c r="VRI18" s="224"/>
      <c r="VRJ18" s="225"/>
      <c r="VRK18" s="226"/>
      <c r="VRL18" s="227"/>
      <c r="VRM18" s="228"/>
      <c r="VRN18" s="228"/>
      <c r="VRO18" s="228"/>
      <c r="VRP18" s="228"/>
      <c r="VRQ18" s="228"/>
      <c r="VRR18" s="228"/>
      <c r="VRS18" s="226"/>
      <c r="VRT18" s="226"/>
      <c r="VRU18" s="224"/>
      <c r="VRV18" s="225"/>
      <c r="VRW18" s="226"/>
      <c r="VRX18" s="227"/>
      <c r="VRY18" s="228"/>
      <c r="VRZ18" s="228"/>
      <c r="VSA18" s="228"/>
      <c r="VSB18" s="228"/>
      <c r="VSC18" s="228"/>
      <c r="VSD18" s="228"/>
      <c r="VSE18" s="226"/>
      <c r="VSF18" s="226"/>
      <c r="VSG18" s="224"/>
      <c r="VSH18" s="225"/>
      <c r="VSI18" s="226"/>
      <c r="VSJ18" s="227"/>
      <c r="VSK18" s="228"/>
      <c r="VSL18" s="228"/>
      <c r="VSM18" s="228"/>
      <c r="VSN18" s="228"/>
      <c r="VSO18" s="228"/>
      <c r="VSP18" s="228"/>
      <c r="VSQ18" s="226"/>
      <c r="VSR18" s="226"/>
      <c r="VSS18" s="224"/>
      <c r="VST18" s="225"/>
      <c r="VSU18" s="226"/>
      <c r="VSV18" s="227"/>
      <c r="VSW18" s="228"/>
      <c r="VSX18" s="228"/>
      <c r="VSY18" s="228"/>
      <c r="VSZ18" s="228"/>
      <c r="VTA18" s="228"/>
      <c r="VTB18" s="228"/>
      <c r="VTC18" s="226"/>
      <c r="VTD18" s="226"/>
      <c r="VTE18" s="224"/>
      <c r="VTF18" s="225"/>
      <c r="VTG18" s="226"/>
      <c r="VTH18" s="227"/>
      <c r="VTI18" s="228"/>
      <c r="VTJ18" s="228"/>
      <c r="VTK18" s="228"/>
      <c r="VTL18" s="228"/>
      <c r="VTM18" s="228"/>
      <c r="VTN18" s="228"/>
      <c r="VTO18" s="226"/>
      <c r="VTP18" s="226"/>
      <c r="VTQ18" s="224"/>
      <c r="VTR18" s="225"/>
      <c r="VTS18" s="226"/>
      <c r="VTT18" s="227"/>
      <c r="VTU18" s="228"/>
      <c r="VTV18" s="228"/>
      <c r="VTW18" s="228"/>
      <c r="VTX18" s="228"/>
      <c r="VTY18" s="228"/>
      <c r="VTZ18" s="228"/>
      <c r="VUA18" s="226"/>
      <c r="VUB18" s="226"/>
      <c r="VUC18" s="224"/>
      <c r="VUD18" s="225"/>
      <c r="VUE18" s="226"/>
      <c r="VUF18" s="227"/>
      <c r="VUG18" s="228"/>
      <c r="VUH18" s="228"/>
      <c r="VUI18" s="228"/>
      <c r="VUJ18" s="228"/>
      <c r="VUK18" s="228"/>
      <c r="VUL18" s="228"/>
      <c r="VUM18" s="226"/>
      <c r="VUN18" s="226"/>
      <c r="VUO18" s="224"/>
      <c r="VUP18" s="225"/>
      <c r="VUQ18" s="226"/>
      <c r="VUR18" s="227"/>
      <c r="VUS18" s="228"/>
      <c r="VUT18" s="228"/>
      <c r="VUU18" s="228"/>
      <c r="VUV18" s="228"/>
      <c r="VUW18" s="228"/>
      <c r="VUX18" s="228"/>
      <c r="VUY18" s="226"/>
      <c r="VUZ18" s="226"/>
      <c r="VVA18" s="224"/>
      <c r="VVB18" s="225"/>
      <c r="VVC18" s="226"/>
      <c r="VVD18" s="227"/>
      <c r="VVE18" s="228"/>
      <c r="VVF18" s="228"/>
      <c r="VVG18" s="228"/>
      <c r="VVH18" s="228"/>
      <c r="VVI18" s="228"/>
      <c r="VVJ18" s="228"/>
      <c r="VVK18" s="226"/>
      <c r="VVL18" s="226"/>
      <c r="VVM18" s="224"/>
      <c r="VVN18" s="225"/>
      <c r="VVO18" s="226"/>
      <c r="VVP18" s="227"/>
      <c r="VVQ18" s="228"/>
      <c r="VVR18" s="228"/>
      <c r="VVS18" s="228"/>
      <c r="VVT18" s="228"/>
      <c r="VVU18" s="228"/>
      <c r="VVV18" s="228"/>
      <c r="VVW18" s="226"/>
      <c r="VVX18" s="226"/>
      <c r="VVY18" s="224"/>
      <c r="VVZ18" s="225"/>
      <c r="VWA18" s="226"/>
      <c r="VWB18" s="227"/>
      <c r="VWC18" s="228"/>
      <c r="VWD18" s="228"/>
      <c r="VWE18" s="228"/>
      <c r="VWF18" s="228"/>
      <c r="VWG18" s="228"/>
      <c r="VWH18" s="228"/>
      <c r="VWI18" s="226"/>
      <c r="VWJ18" s="226"/>
      <c r="VWK18" s="224"/>
      <c r="VWL18" s="225"/>
      <c r="VWM18" s="226"/>
      <c r="VWN18" s="227"/>
      <c r="VWO18" s="228"/>
      <c r="VWP18" s="228"/>
      <c r="VWQ18" s="228"/>
      <c r="VWR18" s="228"/>
      <c r="VWS18" s="228"/>
      <c r="VWT18" s="228"/>
      <c r="VWU18" s="226"/>
      <c r="VWV18" s="226"/>
      <c r="VWW18" s="224"/>
      <c r="VWX18" s="225"/>
      <c r="VWY18" s="226"/>
      <c r="VWZ18" s="227"/>
      <c r="VXA18" s="228"/>
      <c r="VXB18" s="228"/>
      <c r="VXC18" s="228"/>
      <c r="VXD18" s="228"/>
      <c r="VXE18" s="228"/>
      <c r="VXF18" s="228"/>
      <c r="VXG18" s="226"/>
      <c r="VXH18" s="226"/>
      <c r="VXI18" s="224"/>
      <c r="VXJ18" s="225"/>
      <c r="VXK18" s="226"/>
      <c r="VXL18" s="227"/>
      <c r="VXM18" s="228"/>
      <c r="VXN18" s="228"/>
      <c r="VXO18" s="228"/>
      <c r="VXP18" s="228"/>
      <c r="VXQ18" s="228"/>
      <c r="VXR18" s="228"/>
      <c r="VXS18" s="226"/>
      <c r="VXT18" s="226"/>
      <c r="VXU18" s="224"/>
      <c r="VXV18" s="225"/>
      <c r="VXW18" s="226"/>
      <c r="VXX18" s="227"/>
      <c r="VXY18" s="228"/>
      <c r="VXZ18" s="228"/>
      <c r="VYA18" s="228"/>
      <c r="VYB18" s="228"/>
      <c r="VYC18" s="228"/>
      <c r="VYD18" s="228"/>
      <c r="VYE18" s="226"/>
      <c r="VYF18" s="226"/>
      <c r="VYG18" s="224"/>
      <c r="VYH18" s="225"/>
      <c r="VYI18" s="226"/>
      <c r="VYJ18" s="227"/>
      <c r="VYK18" s="228"/>
      <c r="VYL18" s="228"/>
      <c r="VYM18" s="228"/>
      <c r="VYN18" s="228"/>
      <c r="VYO18" s="228"/>
      <c r="VYP18" s="228"/>
      <c r="VYQ18" s="226"/>
      <c r="VYR18" s="226"/>
      <c r="VYS18" s="224"/>
      <c r="VYT18" s="225"/>
      <c r="VYU18" s="226"/>
      <c r="VYV18" s="227"/>
      <c r="VYW18" s="228"/>
      <c r="VYX18" s="228"/>
      <c r="VYY18" s="228"/>
      <c r="VYZ18" s="228"/>
      <c r="VZA18" s="228"/>
      <c r="VZB18" s="228"/>
      <c r="VZC18" s="226"/>
      <c r="VZD18" s="226"/>
      <c r="VZE18" s="224"/>
      <c r="VZF18" s="225"/>
      <c r="VZG18" s="226"/>
      <c r="VZH18" s="227"/>
      <c r="VZI18" s="228"/>
      <c r="VZJ18" s="228"/>
      <c r="VZK18" s="228"/>
      <c r="VZL18" s="228"/>
      <c r="VZM18" s="228"/>
      <c r="VZN18" s="228"/>
      <c r="VZO18" s="226"/>
      <c r="VZP18" s="226"/>
      <c r="VZQ18" s="224"/>
      <c r="VZR18" s="225"/>
      <c r="VZS18" s="226"/>
      <c r="VZT18" s="227"/>
      <c r="VZU18" s="228"/>
      <c r="VZV18" s="228"/>
      <c r="VZW18" s="228"/>
      <c r="VZX18" s="228"/>
      <c r="VZY18" s="228"/>
      <c r="VZZ18" s="228"/>
      <c r="WAA18" s="226"/>
      <c r="WAB18" s="226"/>
      <c r="WAC18" s="224"/>
      <c r="WAD18" s="225"/>
      <c r="WAE18" s="226"/>
      <c r="WAF18" s="227"/>
      <c r="WAG18" s="228"/>
      <c r="WAH18" s="228"/>
      <c r="WAI18" s="228"/>
      <c r="WAJ18" s="228"/>
      <c r="WAK18" s="228"/>
      <c r="WAL18" s="228"/>
      <c r="WAM18" s="226"/>
      <c r="WAN18" s="226"/>
      <c r="WAO18" s="224"/>
      <c r="WAP18" s="225"/>
      <c r="WAQ18" s="226"/>
      <c r="WAR18" s="227"/>
      <c r="WAS18" s="228"/>
      <c r="WAT18" s="228"/>
      <c r="WAU18" s="228"/>
      <c r="WAV18" s="228"/>
      <c r="WAW18" s="228"/>
      <c r="WAX18" s="228"/>
      <c r="WAY18" s="226"/>
      <c r="WAZ18" s="226"/>
      <c r="WBA18" s="224"/>
      <c r="WBB18" s="225"/>
      <c r="WBC18" s="226"/>
      <c r="WBD18" s="227"/>
      <c r="WBE18" s="228"/>
      <c r="WBF18" s="228"/>
      <c r="WBG18" s="228"/>
      <c r="WBH18" s="228"/>
      <c r="WBI18" s="228"/>
      <c r="WBJ18" s="228"/>
      <c r="WBK18" s="226"/>
      <c r="WBL18" s="226"/>
      <c r="WBM18" s="224"/>
      <c r="WBN18" s="225"/>
      <c r="WBO18" s="226"/>
      <c r="WBP18" s="227"/>
      <c r="WBQ18" s="228"/>
      <c r="WBR18" s="228"/>
      <c r="WBS18" s="228"/>
      <c r="WBT18" s="228"/>
      <c r="WBU18" s="228"/>
      <c r="WBV18" s="228"/>
      <c r="WBW18" s="226"/>
      <c r="WBX18" s="226"/>
      <c r="WBY18" s="224"/>
      <c r="WBZ18" s="225"/>
      <c r="WCA18" s="226"/>
      <c r="WCB18" s="227"/>
      <c r="WCC18" s="228"/>
      <c r="WCD18" s="228"/>
      <c r="WCE18" s="228"/>
      <c r="WCF18" s="228"/>
      <c r="WCG18" s="228"/>
      <c r="WCH18" s="228"/>
      <c r="WCI18" s="226"/>
      <c r="WCJ18" s="226"/>
      <c r="WCK18" s="224"/>
      <c r="WCL18" s="225"/>
      <c r="WCM18" s="226"/>
      <c r="WCN18" s="227"/>
      <c r="WCO18" s="228"/>
      <c r="WCP18" s="228"/>
      <c r="WCQ18" s="228"/>
      <c r="WCR18" s="228"/>
      <c r="WCS18" s="228"/>
      <c r="WCT18" s="228"/>
      <c r="WCU18" s="226"/>
      <c r="WCV18" s="226"/>
      <c r="WCW18" s="224"/>
      <c r="WCX18" s="225"/>
      <c r="WCY18" s="226"/>
      <c r="WCZ18" s="227"/>
      <c r="WDA18" s="228"/>
      <c r="WDB18" s="228"/>
      <c r="WDC18" s="228"/>
      <c r="WDD18" s="228"/>
      <c r="WDE18" s="228"/>
      <c r="WDF18" s="228"/>
      <c r="WDG18" s="226"/>
      <c r="WDH18" s="226"/>
      <c r="WDI18" s="224"/>
      <c r="WDJ18" s="225"/>
      <c r="WDK18" s="226"/>
      <c r="WDL18" s="227"/>
      <c r="WDM18" s="228"/>
      <c r="WDN18" s="228"/>
      <c r="WDO18" s="228"/>
      <c r="WDP18" s="228"/>
      <c r="WDQ18" s="228"/>
      <c r="WDR18" s="228"/>
      <c r="WDS18" s="226"/>
      <c r="WDT18" s="226"/>
      <c r="WDU18" s="224"/>
      <c r="WDV18" s="225"/>
      <c r="WDW18" s="226"/>
      <c r="WDX18" s="227"/>
      <c r="WDY18" s="228"/>
      <c r="WDZ18" s="228"/>
      <c r="WEA18" s="228"/>
      <c r="WEB18" s="228"/>
      <c r="WEC18" s="228"/>
      <c r="WED18" s="228"/>
      <c r="WEE18" s="226"/>
      <c r="WEF18" s="226"/>
      <c r="WEG18" s="224"/>
      <c r="WEH18" s="225"/>
      <c r="WEI18" s="226"/>
      <c r="WEJ18" s="227"/>
      <c r="WEK18" s="228"/>
      <c r="WEL18" s="228"/>
      <c r="WEM18" s="228"/>
      <c r="WEN18" s="228"/>
      <c r="WEO18" s="228"/>
      <c r="WEP18" s="228"/>
      <c r="WEQ18" s="226"/>
      <c r="WER18" s="226"/>
      <c r="WES18" s="224"/>
      <c r="WET18" s="225"/>
      <c r="WEU18" s="226"/>
      <c r="WEV18" s="227"/>
      <c r="WEW18" s="228"/>
      <c r="WEX18" s="228"/>
      <c r="WEY18" s="228"/>
      <c r="WEZ18" s="228"/>
      <c r="WFA18" s="228"/>
      <c r="WFB18" s="228"/>
      <c r="WFC18" s="226"/>
      <c r="WFD18" s="226"/>
      <c r="WFE18" s="224"/>
      <c r="WFF18" s="225"/>
      <c r="WFG18" s="226"/>
      <c r="WFH18" s="227"/>
      <c r="WFI18" s="228"/>
      <c r="WFJ18" s="228"/>
      <c r="WFK18" s="228"/>
      <c r="WFL18" s="228"/>
      <c r="WFM18" s="228"/>
      <c r="WFN18" s="228"/>
      <c r="WFO18" s="226"/>
      <c r="WFP18" s="226"/>
      <c r="WFQ18" s="224"/>
      <c r="WFR18" s="225"/>
      <c r="WFS18" s="226"/>
      <c r="WFT18" s="227"/>
      <c r="WFU18" s="228"/>
      <c r="WFV18" s="228"/>
      <c r="WFW18" s="228"/>
      <c r="WFX18" s="228"/>
      <c r="WFY18" s="228"/>
      <c r="WFZ18" s="228"/>
      <c r="WGA18" s="226"/>
      <c r="WGB18" s="226"/>
      <c r="WGC18" s="224"/>
      <c r="WGD18" s="225"/>
      <c r="WGE18" s="226"/>
      <c r="WGF18" s="227"/>
      <c r="WGG18" s="228"/>
      <c r="WGH18" s="228"/>
      <c r="WGI18" s="228"/>
      <c r="WGJ18" s="228"/>
      <c r="WGK18" s="228"/>
      <c r="WGL18" s="228"/>
      <c r="WGM18" s="226"/>
      <c r="WGN18" s="226"/>
      <c r="WGO18" s="224"/>
      <c r="WGP18" s="225"/>
      <c r="WGQ18" s="226"/>
      <c r="WGR18" s="227"/>
      <c r="WGS18" s="228"/>
      <c r="WGT18" s="228"/>
      <c r="WGU18" s="228"/>
      <c r="WGV18" s="228"/>
      <c r="WGW18" s="228"/>
      <c r="WGX18" s="228"/>
      <c r="WGY18" s="226"/>
      <c r="WGZ18" s="226"/>
      <c r="WHA18" s="224"/>
      <c r="WHB18" s="225"/>
      <c r="WHC18" s="226"/>
      <c r="WHD18" s="227"/>
      <c r="WHE18" s="228"/>
      <c r="WHF18" s="228"/>
      <c r="WHG18" s="228"/>
      <c r="WHH18" s="228"/>
      <c r="WHI18" s="228"/>
      <c r="WHJ18" s="228"/>
      <c r="WHK18" s="226"/>
      <c r="WHL18" s="226"/>
      <c r="WHM18" s="224"/>
      <c r="WHN18" s="225"/>
      <c r="WHO18" s="226"/>
      <c r="WHP18" s="227"/>
      <c r="WHQ18" s="228"/>
      <c r="WHR18" s="228"/>
      <c r="WHS18" s="228"/>
      <c r="WHT18" s="228"/>
      <c r="WHU18" s="228"/>
      <c r="WHV18" s="228"/>
      <c r="WHW18" s="226"/>
      <c r="WHX18" s="226"/>
      <c r="WHY18" s="224"/>
      <c r="WHZ18" s="225"/>
      <c r="WIA18" s="226"/>
      <c r="WIB18" s="227"/>
      <c r="WIC18" s="228"/>
      <c r="WID18" s="228"/>
      <c r="WIE18" s="228"/>
      <c r="WIF18" s="228"/>
      <c r="WIG18" s="228"/>
      <c r="WIH18" s="228"/>
      <c r="WII18" s="226"/>
      <c r="WIJ18" s="226"/>
      <c r="WIK18" s="224"/>
      <c r="WIL18" s="225"/>
      <c r="WIM18" s="226"/>
      <c r="WIN18" s="227"/>
      <c r="WIO18" s="228"/>
      <c r="WIP18" s="228"/>
      <c r="WIQ18" s="228"/>
      <c r="WIR18" s="228"/>
      <c r="WIS18" s="228"/>
      <c r="WIT18" s="228"/>
      <c r="WIU18" s="226"/>
      <c r="WIV18" s="226"/>
      <c r="WIW18" s="224"/>
      <c r="WIX18" s="225"/>
      <c r="WIY18" s="226"/>
      <c r="WIZ18" s="227"/>
      <c r="WJA18" s="228"/>
      <c r="WJB18" s="228"/>
      <c r="WJC18" s="228"/>
      <c r="WJD18" s="228"/>
      <c r="WJE18" s="228"/>
      <c r="WJF18" s="228"/>
      <c r="WJG18" s="226"/>
      <c r="WJH18" s="226"/>
      <c r="WJI18" s="224"/>
      <c r="WJJ18" s="225"/>
      <c r="WJK18" s="226"/>
      <c r="WJL18" s="227"/>
      <c r="WJM18" s="228"/>
      <c r="WJN18" s="228"/>
      <c r="WJO18" s="228"/>
      <c r="WJP18" s="228"/>
      <c r="WJQ18" s="228"/>
      <c r="WJR18" s="228"/>
      <c r="WJS18" s="226"/>
      <c r="WJT18" s="226"/>
      <c r="WJU18" s="224"/>
      <c r="WJV18" s="225"/>
      <c r="WJW18" s="226"/>
      <c r="WJX18" s="227"/>
      <c r="WJY18" s="228"/>
      <c r="WJZ18" s="228"/>
      <c r="WKA18" s="228"/>
      <c r="WKB18" s="228"/>
      <c r="WKC18" s="228"/>
      <c r="WKD18" s="228"/>
      <c r="WKE18" s="226"/>
      <c r="WKF18" s="226"/>
      <c r="WKG18" s="224"/>
      <c r="WKH18" s="225"/>
      <c r="WKI18" s="226"/>
      <c r="WKJ18" s="227"/>
      <c r="WKK18" s="228"/>
      <c r="WKL18" s="228"/>
      <c r="WKM18" s="228"/>
      <c r="WKN18" s="228"/>
      <c r="WKO18" s="228"/>
      <c r="WKP18" s="228"/>
      <c r="WKQ18" s="226"/>
      <c r="WKR18" s="226"/>
      <c r="WKS18" s="224"/>
      <c r="WKT18" s="225"/>
      <c r="WKU18" s="226"/>
      <c r="WKV18" s="227"/>
      <c r="WKW18" s="228"/>
      <c r="WKX18" s="228"/>
      <c r="WKY18" s="228"/>
      <c r="WKZ18" s="228"/>
      <c r="WLA18" s="228"/>
      <c r="WLB18" s="228"/>
      <c r="WLC18" s="226"/>
      <c r="WLD18" s="226"/>
      <c r="WLE18" s="224"/>
      <c r="WLF18" s="225"/>
      <c r="WLG18" s="226"/>
      <c r="WLH18" s="227"/>
      <c r="WLI18" s="228"/>
      <c r="WLJ18" s="228"/>
      <c r="WLK18" s="228"/>
      <c r="WLL18" s="228"/>
      <c r="WLM18" s="228"/>
      <c r="WLN18" s="228"/>
      <c r="WLO18" s="226"/>
      <c r="WLP18" s="226"/>
      <c r="WLQ18" s="224"/>
      <c r="WLR18" s="225"/>
      <c r="WLS18" s="226"/>
      <c r="WLT18" s="227"/>
      <c r="WLU18" s="228"/>
      <c r="WLV18" s="228"/>
      <c r="WLW18" s="228"/>
      <c r="WLX18" s="228"/>
      <c r="WLY18" s="228"/>
      <c r="WLZ18" s="228"/>
      <c r="WMA18" s="226"/>
      <c r="WMB18" s="226"/>
      <c r="WMC18" s="224"/>
      <c r="WMD18" s="225"/>
      <c r="WME18" s="226"/>
      <c r="WMF18" s="227"/>
      <c r="WMG18" s="228"/>
      <c r="WMH18" s="228"/>
      <c r="WMI18" s="228"/>
      <c r="WMJ18" s="228"/>
      <c r="WMK18" s="228"/>
      <c r="WML18" s="228"/>
      <c r="WMM18" s="226"/>
      <c r="WMN18" s="226"/>
      <c r="WMO18" s="224"/>
      <c r="WMP18" s="225"/>
      <c r="WMQ18" s="226"/>
      <c r="WMR18" s="227"/>
      <c r="WMS18" s="228"/>
      <c r="WMT18" s="228"/>
      <c r="WMU18" s="228"/>
      <c r="WMV18" s="228"/>
      <c r="WMW18" s="228"/>
      <c r="WMX18" s="228"/>
      <c r="WMY18" s="226"/>
      <c r="WMZ18" s="226"/>
      <c r="WNA18" s="224"/>
      <c r="WNB18" s="225"/>
      <c r="WNC18" s="226"/>
      <c r="WND18" s="227"/>
      <c r="WNE18" s="228"/>
      <c r="WNF18" s="228"/>
      <c r="WNG18" s="228"/>
      <c r="WNH18" s="228"/>
      <c r="WNI18" s="228"/>
      <c r="WNJ18" s="228"/>
      <c r="WNK18" s="226"/>
      <c r="WNL18" s="226"/>
      <c r="WNM18" s="224"/>
      <c r="WNN18" s="225"/>
      <c r="WNO18" s="226"/>
      <c r="WNP18" s="227"/>
      <c r="WNQ18" s="228"/>
      <c r="WNR18" s="228"/>
      <c r="WNS18" s="228"/>
      <c r="WNT18" s="228"/>
      <c r="WNU18" s="228"/>
      <c r="WNV18" s="228"/>
      <c r="WNW18" s="226"/>
      <c r="WNX18" s="226"/>
      <c r="WNY18" s="224"/>
      <c r="WNZ18" s="225"/>
      <c r="WOA18" s="226"/>
      <c r="WOB18" s="227"/>
      <c r="WOC18" s="228"/>
      <c r="WOD18" s="228"/>
      <c r="WOE18" s="228"/>
      <c r="WOF18" s="228"/>
      <c r="WOG18" s="228"/>
      <c r="WOH18" s="228"/>
      <c r="WOI18" s="226"/>
      <c r="WOJ18" s="226"/>
      <c r="WOK18" s="224"/>
      <c r="WOL18" s="225"/>
      <c r="WOM18" s="226"/>
      <c r="WON18" s="227"/>
      <c r="WOO18" s="228"/>
      <c r="WOP18" s="228"/>
      <c r="WOQ18" s="228"/>
      <c r="WOR18" s="228"/>
      <c r="WOS18" s="228"/>
      <c r="WOT18" s="228"/>
      <c r="WOU18" s="226"/>
      <c r="WOV18" s="226"/>
      <c r="WOW18" s="224"/>
      <c r="WOX18" s="225"/>
      <c r="WOY18" s="226"/>
      <c r="WOZ18" s="227"/>
      <c r="WPA18" s="228"/>
      <c r="WPB18" s="228"/>
      <c r="WPC18" s="228"/>
      <c r="WPD18" s="228"/>
      <c r="WPE18" s="228"/>
      <c r="WPF18" s="228"/>
      <c r="WPG18" s="226"/>
      <c r="WPH18" s="226"/>
      <c r="WPI18" s="224"/>
      <c r="WPJ18" s="225"/>
      <c r="WPK18" s="226"/>
      <c r="WPL18" s="227"/>
      <c r="WPM18" s="228"/>
      <c r="WPN18" s="228"/>
      <c r="WPO18" s="228"/>
      <c r="WPP18" s="228"/>
      <c r="WPQ18" s="228"/>
      <c r="WPR18" s="228"/>
      <c r="WPS18" s="226"/>
      <c r="WPT18" s="226"/>
      <c r="WPU18" s="224"/>
      <c r="WPV18" s="225"/>
      <c r="WPW18" s="226"/>
      <c r="WPX18" s="227"/>
      <c r="WPY18" s="228"/>
      <c r="WPZ18" s="228"/>
      <c r="WQA18" s="228"/>
      <c r="WQB18" s="228"/>
      <c r="WQC18" s="228"/>
      <c r="WQD18" s="228"/>
      <c r="WQE18" s="226"/>
      <c r="WQF18" s="226"/>
      <c r="WQG18" s="224"/>
      <c r="WQH18" s="225"/>
      <c r="WQI18" s="226"/>
      <c r="WQJ18" s="227"/>
      <c r="WQK18" s="228"/>
      <c r="WQL18" s="228"/>
      <c r="WQM18" s="228"/>
      <c r="WQN18" s="228"/>
      <c r="WQO18" s="228"/>
      <c r="WQP18" s="228"/>
      <c r="WQQ18" s="226"/>
      <c r="WQR18" s="226"/>
      <c r="WQS18" s="224"/>
      <c r="WQT18" s="225"/>
      <c r="WQU18" s="226"/>
      <c r="WQV18" s="227"/>
      <c r="WQW18" s="228"/>
      <c r="WQX18" s="228"/>
      <c r="WQY18" s="228"/>
      <c r="WQZ18" s="228"/>
      <c r="WRA18" s="228"/>
      <c r="WRB18" s="228"/>
      <c r="WRC18" s="226"/>
      <c r="WRD18" s="226"/>
      <c r="WRE18" s="224"/>
      <c r="WRF18" s="225"/>
      <c r="WRG18" s="226"/>
      <c r="WRH18" s="227"/>
      <c r="WRI18" s="228"/>
      <c r="WRJ18" s="228"/>
      <c r="WRK18" s="228"/>
      <c r="WRL18" s="228"/>
      <c r="WRM18" s="228"/>
      <c r="WRN18" s="228"/>
      <c r="WRO18" s="226"/>
      <c r="WRP18" s="226"/>
      <c r="WRQ18" s="224"/>
      <c r="WRR18" s="225"/>
      <c r="WRS18" s="226"/>
      <c r="WRT18" s="227"/>
      <c r="WRU18" s="228"/>
      <c r="WRV18" s="228"/>
      <c r="WRW18" s="228"/>
      <c r="WRX18" s="228"/>
      <c r="WRY18" s="228"/>
      <c r="WRZ18" s="228"/>
      <c r="WSA18" s="226"/>
      <c r="WSB18" s="226"/>
      <c r="WSC18" s="224"/>
      <c r="WSD18" s="225"/>
      <c r="WSE18" s="226"/>
      <c r="WSF18" s="227"/>
      <c r="WSG18" s="228"/>
      <c r="WSH18" s="228"/>
      <c r="WSI18" s="228"/>
      <c r="WSJ18" s="228"/>
      <c r="WSK18" s="228"/>
      <c r="WSL18" s="228"/>
      <c r="WSM18" s="226"/>
      <c r="WSN18" s="226"/>
      <c r="WSO18" s="224"/>
      <c r="WSP18" s="225"/>
      <c r="WSQ18" s="226"/>
      <c r="WSR18" s="227"/>
      <c r="WSS18" s="228"/>
      <c r="WST18" s="228"/>
      <c r="WSU18" s="228"/>
      <c r="WSV18" s="228"/>
      <c r="WSW18" s="228"/>
      <c r="WSX18" s="228"/>
      <c r="WSY18" s="226"/>
      <c r="WSZ18" s="226"/>
      <c r="WTA18" s="224"/>
      <c r="WTB18" s="225"/>
      <c r="WTC18" s="226"/>
      <c r="WTD18" s="227"/>
      <c r="WTE18" s="228"/>
      <c r="WTF18" s="228"/>
      <c r="WTG18" s="228"/>
      <c r="WTH18" s="228"/>
      <c r="WTI18" s="228"/>
      <c r="WTJ18" s="228"/>
      <c r="WTK18" s="226"/>
      <c r="WTL18" s="226"/>
      <c r="WTM18" s="224"/>
      <c r="WTN18" s="225"/>
      <c r="WTO18" s="226"/>
      <c r="WTP18" s="227"/>
      <c r="WTQ18" s="228"/>
      <c r="WTR18" s="228"/>
      <c r="WTS18" s="228"/>
      <c r="WTT18" s="228"/>
      <c r="WTU18" s="228"/>
      <c r="WTV18" s="228"/>
      <c r="WTW18" s="226"/>
      <c r="WTX18" s="226"/>
      <c r="WTY18" s="224"/>
      <c r="WTZ18" s="225"/>
      <c r="WUA18" s="226"/>
      <c r="WUB18" s="227"/>
      <c r="WUC18" s="228"/>
      <c r="WUD18" s="228"/>
      <c r="WUE18" s="228"/>
      <c r="WUF18" s="228"/>
      <c r="WUG18" s="228"/>
      <c r="WUH18" s="228"/>
      <c r="WUI18" s="226"/>
      <c r="WUJ18" s="226"/>
      <c r="WUK18" s="224"/>
      <c r="WUL18" s="225"/>
      <c r="WUM18" s="226"/>
      <c r="WUN18" s="227"/>
      <c r="WUO18" s="228"/>
      <c r="WUP18" s="228"/>
      <c r="WUQ18" s="228"/>
      <c r="WUR18" s="228"/>
      <c r="WUS18" s="228"/>
      <c r="WUT18" s="228"/>
      <c r="WUU18" s="226"/>
      <c r="WUV18" s="226"/>
      <c r="WUW18" s="224"/>
      <c r="WUX18" s="225"/>
      <c r="WUY18" s="226"/>
      <c r="WUZ18" s="227"/>
      <c r="WVA18" s="228"/>
      <c r="WVB18" s="228"/>
      <c r="WVC18" s="228"/>
      <c r="WVD18" s="228"/>
      <c r="WVE18" s="228"/>
      <c r="WVF18" s="228"/>
      <c r="WVG18" s="226"/>
      <c r="WVH18" s="226"/>
      <c r="WVI18" s="224"/>
      <c r="WVJ18" s="225"/>
      <c r="WVK18" s="226"/>
      <c r="WVL18" s="227"/>
      <c r="WVM18" s="228"/>
      <c r="WVN18" s="228"/>
      <c r="WVO18" s="228"/>
      <c r="WVP18" s="228"/>
      <c r="WVQ18" s="228"/>
      <c r="WVR18" s="228"/>
      <c r="WVS18" s="226"/>
      <c r="WVT18" s="226"/>
      <c r="WVU18" s="224"/>
      <c r="WVV18" s="225"/>
      <c r="WVW18" s="226"/>
      <c r="WVX18" s="227"/>
      <c r="WVY18" s="228"/>
      <c r="WVZ18" s="228"/>
      <c r="WWA18" s="228"/>
      <c r="WWB18" s="228"/>
      <c r="WWC18" s="228"/>
      <c r="WWD18" s="228"/>
      <c r="WWE18" s="226"/>
      <c r="WWF18" s="226"/>
      <c r="WWG18" s="224"/>
      <c r="WWH18" s="225"/>
      <c r="WWI18" s="226"/>
      <c r="WWJ18" s="227"/>
      <c r="WWK18" s="228"/>
      <c r="WWL18" s="228"/>
      <c r="WWM18" s="228"/>
      <c r="WWN18" s="228"/>
      <c r="WWO18" s="228"/>
      <c r="WWP18" s="228"/>
      <c r="WWQ18" s="226"/>
      <c r="WWR18" s="226"/>
      <c r="WWS18" s="224"/>
      <c r="WWT18" s="225"/>
      <c r="WWU18" s="226"/>
      <c r="WWV18" s="227"/>
      <c r="WWW18" s="228"/>
      <c r="WWX18" s="228"/>
      <c r="WWY18" s="228"/>
      <c r="WWZ18" s="228"/>
      <c r="WXA18" s="228"/>
      <c r="WXB18" s="228"/>
      <c r="WXC18" s="226"/>
      <c r="WXD18" s="226"/>
      <c r="WXE18" s="224"/>
      <c r="WXF18" s="225"/>
      <c r="WXG18" s="226"/>
      <c r="WXH18" s="227"/>
      <c r="WXI18" s="228"/>
      <c r="WXJ18" s="228"/>
      <c r="WXK18" s="228"/>
      <c r="WXL18" s="228"/>
      <c r="WXM18" s="228"/>
      <c r="WXN18" s="228"/>
      <c r="WXO18" s="226"/>
      <c r="WXP18" s="226"/>
      <c r="WXQ18" s="224"/>
      <c r="WXR18" s="225"/>
      <c r="WXS18" s="226"/>
      <c r="WXT18" s="227"/>
      <c r="WXU18" s="228"/>
      <c r="WXV18" s="228"/>
      <c r="WXW18" s="228"/>
      <c r="WXX18" s="228"/>
      <c r="WXY18" s="228"/>
      <c r="WXZ18" s="228"/>
      <c r="WYA18" s="226"/>
      <c r="WYB18" s="226"/>
      <c r="WYC18" s="224"/>
      <c r="WYD18" s="225"/>
      <c r="WYE18" s="226"/>
      <c r="WYF18" s="227"/>
      <c r="WYG18" s="228"/>
      <c r="WYH18" s="228"/>
      <c r="WYI18" s="228"/>
      <c r="WYJ18" s="228"/>
      <c r="WYK18" s="228"/>
      <c r="WYL18" s="228"/>
      <c r="WYM18" s="226"/>
      <c r="WYN18" s="226"/>
      <c r="WYO18" s="224"/>
      <c r="WYP18" s="225"/>
      <c r="WYQ18" s="226"/>
      <c r="WYR18" s="227"/>
      <c r="WYS18" s="228"/>
      <c r="WYT18" s="228"/>
      <c r="WYU18" s="228"/>
      <c r="WYV18" s="228"/>
      <c r="WYW18" s="228"/>
      <c r="WYX18" s="228"/>
      <c r="WYY18" s="226"/>
      <c r="WYZ18" s="226"/>
      <c r="WZA18" s="224"/>
      <c r="WZB18" s="225"/>
      <c r="WZC18" s="226"/>
      <c r="WZD18" s="227"/>
      <c r="WZE18" s="228"/>
      <c r="WZF18" s="228"/>
      <c r="WZG18" s="228"/>
      <c r="WZH18" s="228"/>
      <c r="WZI18" s="228"/>
      <c r="WZJ18" s="228"/>
      <c r="WZK18" s="226"/>
      <c r="WZL18" s="226"/>
      <c r="WZM18" s="224"/>
      <c r="WZN18" s="225"/>
      <c r="WZO18" s="226"/>
      <c r="WZP18" s="227"/>
      <c r="WZQ18" s="228"/>
      <c r="WZR18" s="228"/>
      <c r="WZS18" s="228"/>
      <c r="WZT18" s="228"/>
      <c r="WZU18" s="228"/>
      <c r="WZV18" s="228"/>
      <c r="WZW18" s="226"/>
      <c r="WZX18" s="226"/>
      <c r="WZY18" s="224"/>
      <c r="WZZ18" s="225"/>
      <c r="XAA18" s="226"/>
      <c r="XAB18" s="227"/>
      <c r="XAC18" s="228"/>
      <c r="XAD18" s="228"/>
      <c r="XAE18" s="228"/>
      <c r="XAF18" s="228"/>
      <c r="XAG18" s="228"/>
      <c r="XAH18" s="228"/>
      <c r="XAI18" s="226"/>
      <c r="XAJ18" s="226"/>
      <c r="XAK18" s="224"/>
      <c r="XAL18" s="225"/>
      <c r="XAM18" s="226"/>
      <c r="XAN18" s="227"/>
      <c r="XAO18" s="228"/>
      <c r="XAP18" s="228"/>
      <c r="XAQ18" s="228"/>
      <c r="XAR18" s="228"/>
      <c r="XAS18" s="228"/>
      <c r="XAT18" s="228"/>
      <c r="XAU18" s="226"/>
      <c r="XAV18" s="226"/>
      <c r="XAW18" s="224"/>
      <c r="XAX18" s="225"/>
      <c r="XAY18" s="226"/>
      <c r="XAZ18" s="227"/>
      <c r="XBA18" s="228"/>
      <c r="XBB18" s="228"/>
      <c r="XBC18" s="228"/>
      <c r="XBD18" s="228"/>
      <c r="XBE18" s="228"/>
      <c r="XBF18" s="228"/>
      <c r="XBG18" s="226"/>
      <c r="XBH18" s="226"/>
      <c r="XBI18" s="224"/>
      <c r="XBJ18" s="225"/>
      <c r="XBK18" s="226"/>
      <c r="XBL18" s="227"/>
      <c r="XBM18" s="228"/>
      <c r="XBN18" s="228"/>
      <c r="XBO18" s="228"/>
      <c r="XBP18" s="228"/>
      <c r="XBQ18" s="228"/>
      <c r="XBR18" s="228"/>
      <c r="XBS18" s="226"/>
      <c r="XBT18" s="226"/>
      <c r="XBU18" s="224"/>
      <c r="XBV18" s="225"/>
      <c r="XBW18" s="226"/>
      <c r="XBX18" s="227"/>
      <c r="XBY18" s="228"/>
      <c r="XBZ18" s="228"/>
      <c r="XCA18" s="228"/>
      <c r="XCB18" s="228"/>
      <c r="XCC18" s="228"/>
      <c r="XCD18" s="228"/>
      <c r="XCE18" s="226"/>
      <c r="XCF18" s="226"/>
      <c r="XCG18" s="224"/>
      <c r="XCH18" s="225"/>
      <c r="XCI18" s="226"/>
      <c r="XCJ18" s="227"/>
      <c r="XCK18" s="228"/>
      <c r="XCL18" s="228"/>
      <c r="XCM18" s="228"/>
      <c r="XCN18" s="228"/>
      <c r="XCO18" s="228"/>
      <c r="XCP18" s="228"/>
      <c r="XCQ18" s="226"/>
      <c r="XCR18" s="226"/>
      <c r="XCS18" s="224"/>
      <c r="XCT18" s="225"/>
      <c r="XCU18" s="226"/>
      <c r="XCV18" s="227"/>
      <c r="XCW18" s="228"/>
      <c r="XCX18" s="228"/>
      <c r="XCY18" s="228"/>
      <c r="XCZ18" s="228"/>
      <c r="XDA18" s="228"/>
      <c r="XDB18" s="228"/>
      <c r="XDC18" s="226"/>
      <c r="XDD18" s="226"/>
      <c r="XDE18" s="224"/>
      <c r="XDF18" s="225"/>
      <c r="XDG18" s="226"/>
      <c r="XDH18" s="227"/>
      <c r="XDI18" s="228"/>
      <c r="XDJ18" s="228"/>
      <c r="XDK18" s="228"/>
      <c r="XDL18" s="228"/>
      <c r="XDM18" s="228"/>
      <c r="XDN18" s="228"/>
      <c r="XDO18" s="226"/>
      <c r="XDP18" s="226"/>
      <c r="XDQ18" s="224"/>
      <c r="XDR18" s="225"/>
      <c r="XDS18" s="226"/>
      <c r="XDT18" s="227"/>
      <c r="XDU18" s="228"/>
      <c r="XDV18" s="228"/>
      <c r="XDW18" s="228"/>
      <c r="XDX18" s="228"/>
      <c r="XDY18" s="228"/>
      <c r="XDZ18" s="228"/>
      <c r="XEA18" s="226"/>
      <c r="XEB18" s="226"/>
      <c r="XEC18" s="224"/>
      <c r="XED18" s="225"/>
      <c r="XEE18" s="226"/>
      <c r="XEF18" s="227"/>
      <c r="XEG18" s="228"/>
      <c r="XEH18" s="228"/>
      <c r="XEI18" s="228"/>
      <c r="XEJ18" s="228"/>
      <c r="XEK18" s="228"/>
      <c r="XEL18" s="228"/>
      <c r="XEM18" s="226"/>
      <c r="XEN18" s="226"/>
      <c r="XEO18" s="224"/>
      <c r="XEP18" s="225"/>
      <c r="XEQ18" s="226"/>
      <c r="XER18" s="227"/>
      <c r="XES18" s="228"/>
      <c r="XET18" s="228"/>
      <c r="XEU18" s="228"/>
      <c r="XEV18" s="228"/>
      <c r="XEW18" s="228"/>
      <c r="XEX18" s="228"/>
      <c r="XEY18" s="226"/>
      <c r="XEZ18" s="226"/>
      <c r="XFA18" s="224"/>
      <c r="XFB18" s="225"/>
      <c r="XFC18" s="226"/>
      <c r="XFD18" s="227"/>
    </row>
    <row r="19" spans="1:16384" s="370" customFormat="1" ht="7.5" customHeight="1">
      <c r="A19" s="836"/>
      <c r="B19" s="836"/>
      <c r="C19" s="836"/>
      <c r="D19" s="837"/>
      <c r="E19" s="836"/>
      <c r="F19" s="836"/>
      <c r="G19" s="836"/>
      <c r="H19" s="836"/>
      <c r="I19" s="836"/>
      <c r="J19" s="836"/>
      <c r="K19" s="838"/>
      <c r="L19" s="231"/>
      <c r="N19" s="247"/>
      <c r="O19" s="247"/>
      <c r="P19" s="247"/>
      <c r="Q19" s="247"/>
      <c r="R19" s="247"/>
      <c r="S19" s="247"/>
      <c r="T19" s="247"/>
      <c r="U19" s="247"/>
      <c r="V19" s="247"/>
    </row>
    <row r="20" spans="1:16384" s="370" customFormat="1" ht="39.5">
      <c r="A20" s="835" t="s">
        <v>1546</v>
      </c>
      <c r="B20" s="1" t="s">
        <v>116</v>
      </c>
      <c r="C20" s="2" t="s">
        <v>953</v>
      </c>
      <c r="D20" s="106" t="s">
        <v>1006</v>
      </c>
      <c r="E20" s="105" t="s">
        <v>0</v>
      </c>
      <c r="F20" s="1" t="s">
        <v>1</v>
      </c>
      <c r="G20" s="1" t="s">
        <v>2</v>
      </c>
      <c r="H20" s="1" t="s">
        <v>3</v>
      </c>
      <c r="I20" s="1" t="s">
        <v>4</v>
      </c>
      <c r="J20" s="1" t="s">
        <v>26</v>
      </c>
      <c r="K20" s="1" t="s">
        <v>5</v>
      </c>
      <c r="L20" s="232"/>
      <c r="N20" s="247"/>
      <c r="O20" s="247"/>
      <c r="P20" s="247"/>
      <c r="Q20" s="247"/>
      <c r="R20" s="247"/>
      <c r="S20" s="247"/>
      <c r="T20" s="247"/>
      <c r="U20" s="247"/>
      <c r="V20" s="247"/>
    </row>
    <row r="21" spans="1:16384" s="370" customFormat="1">
      <c r="A21" s="140" t="s">
        <v>118</v>
      </c>
      <c r="B21" s="180" t="s">
        <v>119</v>
      </c>
      <c r="C21" s="268">
        <v>0</v>
      </c>
      <c r="D21" s="107">
        <f>+'Aviation Assets~Supp'!G46</f>
        <v>20371</v>
      </c>
      <c r="E21" s="122">
        <f>+'Aviation Assets~Supp'!H46</f>
        <v>135</v>
      </c>
      <c r="F21" s="122">
        <f>+'Aviation Assets~Supp'!I46</f>
        <v>20236</v>
      </c>
      <c r="G21" s="122">
        <f>+'Aviation Assets~Supp'!J46</f>
        <v>0</v>
      </c>
      <c r="H21" s="122">
        <f>+'Aviation Assets~Supp'!K46</f>
        <v>0</v>
      </c>
      <c r="I21" s="122">
        <f>+'Aviation Assets~Supp'!L46</f>
        <v>0</v>
      </c>
      <c r="J21" s="122">
        <f>+'Aviation Assets~Supp'!M46</f>
        <v>0</v>
      </c>
      <c r="K21" s="136">
        <f t="shared" ref="K21" si="5">SUM(E21:J21)</f>
        <v>20371</v>
      </c>
      <c r="L21" s="228">
        <f t="shared" ref="L21" si="6">(K21*-$M$2)+K21</f>
        <v>20371</v>
      </c>
      <c r="N21" s="247"/>
      <c r="O21" s="468"/>
      <c r="P21" s="247"/>
      <c r="Q21" s="247"/>
      <c r="R21" s="247"/>
      <c r="S21" s="247"/>
      <c r="T21" s="247"/>
      <c r="U21" s="247"/>
      <c r="V21" s="247"/>
    </row>
    <row r="22" spans="1:16384" s="370" customFormat="1">
      <c r="A22" s="138" t="s">
        <v>134</v>
      </c>
      <c r="B22" s="117"/>
      <c r="C22" s="123">
        <f t="shared" ref="C22:L22" si="7">SUM(C21)</f>
        <v>0</v>
      </c>
      <c r="D22" s="139">
        <f t="shared" si="7"/>
        <v>20371</v>
      </c>
      <c r="E22" s="123">
        <f t="shared" si="7"/>
        <v>135</v>
      </c>
      <c r="F22" s="123">
        <f t="shared" si="7"/>
        <v>20236</v>
      </c>
      <c r="G22" s="123">
        <f t="shared" si="7"/>
        <v>0</v>
      </c>
      <c r="H22" s="123">
        <f t="shared" si="7"/>
        <v>0</v>
      </c>
      <c r="I22" s="123">
        <f t="shared" si="7"/>
        <v>0</v>
      </c>
      <c r="J22" s="123">
        <f t="shared" si="7"/>
        <v>0</v>
      </c>
      <c r="K22" s="135">
        <f t="shared" si="7"/>
        <v>20371</v>
      </c>
      <c r="L22" s="230">
        <f t="shared" si="7"/>
        <v>20371</v>
      </c>
      <c r="N22" s="247"/>
      <c r="O22" s="247"/>
      <c r="P22" s="247"/>
      <c r="Q22" s="247"/>
      <c r="R22" s="247"/>
      <c r="S22" s="247"/>
      <c r="T22" s="247"/>
      <c r="U22" s="247"/>
      <c r="V22" s="247"/>
    </row>
    <row r="23" spans="1:16384" s="370" customFormat="1">
      <c r="A23" s="224" t="s">
        <v>135</v>
      </c>
      <c r="B23" s="225"/>
      <c r="C23" s="226"/>
      <c r="D23" s="227"/>
      <c r="E23" s="226">
        <f t="shared" ref="E23:J23" si="8">(E22*-$M$2)+E22</f>
        <v>135</v>
      </c>
      <c r="F23" s="226">
        <f t="shared" si="8"/>
        <v>20236</v>
      </c>
      <c r="G23" s="226">
        <f t="shared" si="8"/>
        <v>0</v>
      </c>
      <c r="H23" s="226">
        <f t="shared" si="8"/>
        <v>0</v>
      </c>
      <c r="I23" s="226">
        <f t="shared" si="8"/>
        <v>0</v>
      </c>
      <c r="J23" s="226">
        <f t="shared" si="8"/>
        <v>0</v>
      </c>
      <c r="K23" s="496">
        <f>SUM(E23:J23)</f>
        <v>20371</v>
      </c>
      <c r="L23" s="226"/>
      <c r="M23" s="387"/>
      <c r="N23" s="247"/>
      <c r="O23" s="247"/>
      <c r="P23" s="281"/>
      <c r="Q23" s="247"/>
      <c r="R23" s="247"/>
      <c r="S23" s="247"/>
      <c r="T23" s="247"/>
      <c r="U23" s="247"/>
      <c r="V23" s="247"/>
      <c r="W23" s="389"/>
      <c r="X23" s="389"/>
      <c r="Y23" s="387"/>
      <c r="Z23" s="180"/>
      <c r="AA23" s="389"/>
      <c r="AB23" s="389"/>
      <c r="AC23" s="389"/>
      <c r="AD23" s="389"/>
      <c r="AE23" s="389"/>
      <c r="AF23" s="389"/>
      <c r="AG23" s="389"/>
      <c r="AH23" s="389"/>
      <c r="AI23" s="389"/>
      <c r="AJ23" s="226"/>
      <c r="AK23" s="224"/>
      <c r="AL23" s="225"/>
      <c r="AM23" s="226"/>
      <c r="AN23" s="227"/>
      <c r="AO23" s="228"/>
      <c r="AP23" s="228"/>
      <c r="AQ23" s="228"/>
      <c r="AR23" s="228"/>
      <c r="AS23" s="228"/>
      <c r="AT23" s="228"/>
      <c r="AU23" s="226"/>
      <c r="AV23" s="226"/>
      <c r="AW23" s="224"/>
      <c r="AX23" s="225"/>
      <c r="AY23" s="226"/>
      <c r="AZ23" s="227"/>
      <c r="BA23" s="228"/>
      <c r="BB23" s="228"/>
      <c r="BC23" s="228"/>
      <c r="BD23" s="228"/>
      <c r="BE23" s="228"/>
      <c r="BF23" s="228"/>
      <c r="BG23" s="226"/>
      <c r="BH23" s="226"/>
      <c r="BI23" s="224"/>
      <c r="BJ23" s="225"/>
      <c r="BK23" s="226"/>
      <c r="BL23" s="227"/>
      <c r="BM23" s="228"/>
      <c r="BN23" s="228"/>
      <c r="BO23" s="228"/>
      <c r="BP23" s="228"/>
      <c r="BQ23" s="228"/>
      <c r="BR23" s="228"/>
      <c r="BS23" s="226"/>
      <c r="BT23" s="226"/>
      <c r="BU23" s="224"/>
      <c r="BV23" s="225"/>
      <c r="BW23" s="226"/>
      <c r="BX23" s="227"/>
      <c r="BY23" s="228"/>
      <c r="BZ23" s="228"/>
      <c r="CA23" s="228"/>
      <c r="CB23" s="228"/>
      <c r="CC23" s="228"/>
      <c r="CD23" s="228"/>
      <c r="CE23" s="226"/>
      <c r="CF23" s="226"/>
      <c r="CG23" s="224"/>
      <c r="CH23" s="225"/>
      <c r="CI23" s="226"/>
      <c r="CJ23" s="227"/>
      <c r="CK23" s="228"/>
      <c r="CL23" s="228"/>
      <c r="CM23" s="228"/>
      <c r="CN23" s="228"/>
      <c r="CO23" s="228"/>
      <c r="CP23" s="228"/>
      <c r="CQ23" s="226"/>
      <c r="CR23" s="226"/>
      <c r="CS23" s="224"/>
      <c r="CT23" s="225"/>
      <c r="CU23" s="226"/>
      <c r="CV23" s="227"/>
      <c r="CW23" s="228"/>
      <c r="CX23" s="228"/>
      <c r="CY23" s="228"/>
      <c r="CZ23" s="228"/>
      <c r="DA23" s="228"/>
      <c r="DB23" s="228"/>
      <c r="DC23" s="226"/>
      <c r="DD23" s="226"/>
      <c r="DE23" s="224"/>
      <c r="DF23" s="225"/>
      <c r="DG23" s="226"/>
      <c r="DH23" s="227"/>
      <c r="DI23" s="228"/>
      <c r="DJ23" s="228"/>
      <c r="DK23" s="228"/>
      <c r="DL23" s="228"/>
      <c r="DM23" s="228"/>
      <c r="DN23" s="228"/>
      <c r="DO23" s="226"/>
      <c r="DP23" s="226"/>
      <c r="DQ23" s="224"/>
      <c r="DR23" s="225"/>
      <c r="DS23" s="226"/>
      <c r="DT23" s="227"/>
      <c r="DU23" s="228"/>
      <c r="DV23" s="228"/>
      <c r="DW23" s="228"/>
      <c r="DX23" s="228"/>
      <c r="DY23" s="228"/>
      <c r="DZ23" s="228"/>
      <c r="EA23" s="226"/>
      <c r="EB23" s="226"/>
      <c r="EC23" s="224"/>
      <c r="ED23" s="225"/>
      <c r="EE23" s="226"/>
      <c r="EF23" s="227"/>
      <c r="EG23" s="228"/>
      <c r="EH23" s="228"/>
      <c r="EI23" s="228"/>
      <c r="EJ23" s="228"/>
      <c r="EK23" s="228"/>
      <c r="EL23" s="228"/>
      <c r="EM23" s="226"/>
      <c r="EN23" s="226"/>
      <c r="EO23" s="224"/>
      <c r="EP23" s="225"/>
      <c r="EQ23" s="226"/>
      <c r="ER23" s="227"/>
      <c r="ES23" s="228"/>
      <c r="ET23" s="228"/>
      <c r="EU23" s="228"/>
      <c r="EV23" s="228"/>
      <c r="EW23" s="228"/>
      <c r="EX23" s="228"/>
      <c r="EY23" s="226"/>
      <c r="EZ23" s="226"/>
      <c r="FA23" s="224"/>
      <c r="FB23" s="225"/>
      <c r="FC23" s="226"/>
      <c r="FD23" s="227"/>
      <c r="FE23" s="228"/>
      <c r="FF23" s="228"/>
      <c r="FG23" s="228"/>
      <c r="FH23" s="228"/>
      <c r="FI23" s="228"/>
      <c r="FJ23" s="228"/>
      <c r="FK23" s="226"/>
      <c r="FL23" s="226"/>
      <c r="FM23" s="224"/>
      <c r="FN23" s="225"/>
      <c r="FO23" s="226"/>
      <c r="FP23" s="227"/>
      <c r="FQ23" s="228"/>
      <c r="FR23" s="228"/>
      <c r="FS23" s="228"/>
      <c r="FT23" s="228"/>
      <c r="FU23" s="228"/>
      <c r="FV23" s="228"/>
      <c r="FW23" s="226"/>
      <c r="FX23" s="226"/>
      <c r="FY23" s="224"/>
      <c r="FZ23" s="225"/>
      <c r="GA23" s="226"/>
      <c r="GB23" s="227"/>
      <c r="GC23" s="228"/>
      <c r="GD23" s="228"/>
      <c r="GE23" s="228"/>
      <c r="GF23" s="228"/>
      <c r="GG23" s="228"/>
      <c r="GH23" s="228"/>
      <c r="GI23" s="226"/>
      <c r="GJ23" s="226"/>
      <c r="GK23" s="224"/>
      <c r="GL23" s="225"/>
      <c r="GM23" s="226"/>
      <c r="GN23" s="227"/>
      <c r="GO23" s="228"/>
      <c r="GP23" s="228"/>
      <c r="GQ23" s="228"/>
      <c r="GR23" s="228"/>
      <c r="GS23" s="228"/>
      <c r="GT23" s="228"/>
      <c r="GU23" s="226"/>
      <c r="GV23" s="226"/>
      <c r="GW23" s="224"/>
      <c r="GX23" s="225"/>
      <c r="GY23" s="226"/>
      <c r="GZ23" s="227"/>
      <c r="HA23" s="228"/>
      <c r="HB23" s="228"/>
      <c r="HC23" s="228"/>
      <c r="HD23" s="228"/>
      <c r="HE23" s="228"/>
      <c r="HF23" s="228"/>
      <c r="HG23" s="226"/>
      <c r="HH23" s="226"/>
      <c r="HI23" s="224"/>
      <c r="HJ23" s="225"/>
      <c r="HK23" s="226"/>
      <c r="HL23" s="227"/>
      <c r="HM23" s="228"/>
      <c r="HN23" s="228"/>
      <c r="HO23" s="228"/>
      <c r="HP23" s="228"/>
      <c r="HQ23" s="228"/>
      <c r="HR23" s="228"/>
      <c r="HS23" s="226"/>
      <c r="HT23" s="226"/>
      <c r="HU23" s="224"/>
      <c r="HV23" s="225"/>
      <c r="HW23" s="226"/>
      <c r="HX23" s="227"/>
      <c r="HY23" s="228"/>
      <c r="HZ23" s="228"/>
      <c r="IA23" s="228"/>
      <c r="IB23" s="228"/>
      <c r="IC23" s="228"/>
      <c r="ID23" s="228"/>
      <c r="IE23" s="226"/>
      <c r="IF23" s="226"/>
      <c r="IG23" s="224"/>
      <c r="IH23" s="225"/>
      <c r="II23" s="226"/>
      <c r="IJ23" s="227"/>
      <c r="IK23" s="228"/>
      <c r="IL23" s="228"/>
      <c r="IM23" s="228"/>
      <c r="IN23" s="228"/>
      <c r="IO23" s="228"/>
      <c r="IP23" s="228"/>
      <c r="IQ23" s="226"/>
      <c r="IR23" s="226"/>
      <c r="IS23" s="224"/>
      <c r="IT23" s="225"/>
      <c r="IU23" s="226"/>
      <c r="IV23" s="227"/>
      <c r="IW23" s="228"/>
      <c r="IX23" s="228"/>
      <c r="IY23" s="228"/>
      <c r="IZ23" s="228"/>
      <c r="JA23" s="228"/>
      <c r="JB23" s="228"/>
      <c r="JC23" s="226"/>
      <c r="JD23" s="226"/>
      <c r="JE23" s="224"/>
      <c r="JF23" s="225"/>
      <c r="JG23" s="226"/>
      <c r="JH23" s="227"/>
      <c r="JI23" s="228"/>
      <c r="JJ23" s="228"/>
      <c r="JK23" s="228"/>
      <c r="JL23" s="228"/>
      <c r="JM23" s="228"/>
      <c r="JN23" s="228"/>
      <c r="JO23" s="226"/>
      <c r="JP23" s="226"/>
      <c r="JQ23" s="224"/>
      <c r="JR23" s="225"/>
      <c r="JS23" s="226"/>
      <c r="JT23" s="227"/>
      <c r="JU23" s="228"/>
      <c r="JV23" s="228"/>
      <c r="JW23" s="228"/>
      <c r="JX23" s="228"/>
      <c r="JY23" s="228"/>
      <c r="JZ23" s="228"/>
      <c r="KA23" s="226"/>
      <c r="KB23" s="226"/>
      <c r="KC23" s="224"/>
      <c r="KD23" s="225"/>
      <c r="KE23" s="226"/>
      <c r="KF23" s="227"/>
      <c r="KG23" s="228"/>
      <c r="KH23" s="228"/>
      <c r="KI23" s="228"/>
      <c r="KJ23" s="228"/>
      <c r="KK23" s="228"/>
      <c r="KL23" s="228"/>
      <c r="KM23" s="226"/>
      <c r="KN23" s="226"/>
      <c r="KO23" s="224"/>
      <c r="KP23" s="225"/>
      <c r="KQ23" s="226"/>
      <c r="KR23" s="227"/>
      <c r="KS23" s="228"/>
      <c r="KT23" s="228"/>
      <c r="KU23" s="228"/>
      <c r="KV23" s="228"/>
      <c r="KW23" s="228"/>
      <c r="KX23" s="228"/>
      <c r="KY23" s="226"/>
      <c r="KZ23" s="226"/>
      <c r="LA23" s="224"/>
      <c r="LB23" s="225"/>
      <c r="LC23" s="226"/>
      <c r="LD23" s="227"/>
      <c r="LE23" s="228"/>
      <c r="LF23" s="228"/>
      <c r="LG23" s="228"/>
      <c r="LH23" s="228"/>
      <c r="LI23" s="228"/>
      <c r="LJ23" s="228"/>
      <c r="LK23" s="226"/>
      <c r="LL23" s="226"/>
      <c r="LM23" s="224"/>
      <c r="LN23" s="225"/>
      <c r="LO23" s="226"/>
      <c r="LP23" s="227"/>
      <c r="LQ23" s="228"/>
      <c r="LR23" s="228"/>
      <c r="LS23" s="228"/>
      <c r="LT23" s="228"/>
      <c r="LU23" s="228"/>
      <c r="LV23" s="228"/>
      <c r="LW23" s="226"/>
      <c r="LX23" s="226"/>
      <c r="LY23" s="224"/>
      <c r="LZ23" s="225"/>
      <c r="MA23" s="226"/>
      <c r="MB23" s="227"/>
      <c r="MC23" s="228"/>
      <c r="MD23" s="228"/>
      <c r="ME23" s="228"/>
      <c r="MF23" s="228"/>
      <c r="MG23" s="228"/>
      <c r="MH23" s="228"/>
      <c r="MI23" s="226"/>
      <c r="MJ23" s="226"/>
      <c r="MK23" s="224"/>
      <c r="ML23" s="225"/>
      <c r="MM23" s="226"/>
      <c r="MN23" s="227"/>
      <c r="MO23" s="228"/>
      <c r="MP23" s="228"/>
      <c r="MQ23" s="228"/>
      <c r="MR23" s="228"/>
      <c r="MS23" s="228"/>
      <c r="MT23" s="228"/>
      <c r="MU23" s="226"/>
      <c r="MV23" s="226"/>
      <c r="MW23" s="224"/>
      <c r="MX23" s="225"/>
      <c r="MY23" s="226"/>
      <c r="MZ23" s="227"/>
      <c r="NA23" s="228"/>
      <c r="NB23" s="228"/>
      <c r="NC23" s="228"/>
      <c r="ND23" s="228"/>
      <c r="NE23" s="228"/>
      <c r="NF23" s="228"/>
      <c r="NG23" s="226"/>
      <c r="NH23" s="226"/>
      <c r="NI23" s="224"/>
      <c r="NJ23" s="225"/>
      <c r="NK23" s="226"/>
      <c r="NL23" s="227"/>
      <c r="NM23" s="228"/>
      <c r="NN23" s="228"/>
      <c r="NO23" s="228"/>
      <c r="NP23" s="228"/>
      <c r="NQ23" s="228"/>
      <c r="NR23" s="228"/>
      <c r="NS23" s="226"/>
      <c r="NT23" s="226"/>
      <c r="NU23" s="224"/>
      <c r="NV23" s="225"/>
      <c r="NW23" s="226"/>
      <c r="NX23" s="227"/>
      <c r="NY23" s="228"/>
      <c r="NZ23" s="228"/>
      <c r="OA23" s="228"/>
      <c r="OB23" s="228"/>
      <c r="OC23" s="228"/>
      <c r="OD23" s="228"/>
      <c r="OE23" s="226"/>
      <c r="OF23" s="226"/>
      <c r="OG23" s="224"/>
      <c r="OH23" s="225"/>
      <c r="OI23" s="226"/>
      <c r="OJ23" s="227"/>
      <c r="OK23" s="228"/>
      <c r="OL23" s="228"/>
      <c r="OM23" s="228"/>
      <c r="ON23" s="228"/>
      <c r="OO23" s="228"/>
      <c r="OP23" s="228"/>
      <c r="OQ23" s="226"/>
      <c r="OR23" s="226"/>
      <c r="OS23" s="224"/>
      <c r="OT23" s="225"/>
      <c r="OU23" s="226"/>
      <c r="OV23" s="227"/>
      <c r="OW23" s="228"/>
      <c r="OX23" s="228"/>
      <c r="OY23" s="228"/>
      <c r="OZ23" s="228"/>
      <c r="PA23" s="228"/>
      <c r="PB23" s="228"/>
      <c r="PC23" s="226"/>
      <c r="PD23" s="226"/>
      <c r="PE23" s="224"/>
      <c r="PF23" s="225"/>
      <c r="PG23" s="226"/>
      <c r="PH23" s="227"/>
      <c r="PI23" s="228"/>
      <c r="PJ23" s="228"/>
      <c r="PK23" s="228"/>
      <c r="PL23" s="228"/>
      <c r="PM23" s="228"/>
      <c r="PN23" s="228"/>
      <c r="PO23" s="226"/>
      <c r="PP23" s="226"/>
      <c r="PQ23" s="224"/>
      <c r="PR23" s="225"/>
      <c r="PS23" s="226"/>
      <c r="PT23" s="227"/>
      <c r="PU23" s="228"/>
      <c r="PV23" s="228"/>
      <c r="PW23" s="228"/>
      <c r="PX23" s="228"/>
      <c r="PY23" s="228"/>
      <c r="PZ23" s="228"/>
      <c r="QA23" s="226"/>
      <c r="QB23" s="226"/>
      <c r="QC23" s="224"/>
      <c r="QD23" s="225"/>
      <c r="QE23" s="226"/>
      <c r="QF23" s="227"/>
      <c r="QG23" s="228"/>
      <c r="QH23" s="228"/>
      <c r="QI23" s="228"/>
      <c r="QJ23" s="228"/>
      <c r="QK23" s="228"/>
      <c r="QL23" s="228"/>
      <c r="QM23" s="226"/>
      <c r="QN23" s="226"/>
      <c r="QO23" s="224"/>
      <c r="QP23" s="225"/>
      <c r="QQ23" s="226"/>
      <c r="QR23" s="227"/>
      <c r="QS23" s="228"/>
      <c r="QT23" s="228"/>
      <c r="QU23" s="228"/>
      <c r="QV23" s="228"/>
      <c r="QW23" s="228"/>
      <c r="QX23" s="228"/>
      <c r="QY23" s="226"/>
      <c r="QZ23" s="226"/>
      <c r="RA23" s="224"/>
      <c r="RB23" s="225"/>
      <c r="RC23" s="226"/>
      <c r="RD23" s="227"/>
      <c r="RE23" s="228"/>
      <c r="RF23" s="228"/>
      <c r="RG23" s="228"/>
      <c r="RH23" s="228"/>
      <c r="RI23" s="228"/>
      <c r="RJ23" s="228"/>
      <c r="RK23" s="226"/>
      <c r="RL23" s="226"/>
      <c r="RM23" s="224"/>
      <c r="RN23" s="225"/>
      <c r="RO23" s="226"/>
      <c r="RP23" s="227"/>
      <c r="RQ23" s="228"/>
      <c r="RR23" s="228"/>
      <c r="RS23" s="228"/>
      <c r="RT23" s="228"/>
      <c r="RU23" s="228"/>
      <c r="RV23" s="228"/>
      <c r="RW23" s="226"/>
      <c r="RX23" s="226"/>
      <c r="RY23" s="224"/>
      <c r="RZ23" s="225"/>
      <c r="SA23" s="226"/>
      <c r="SB23" s="227"/>
      <c r="SC23" s="228"/>
      <c r="SD23" s="228"/>
      <c r="SE23" s="228"/>
      <c r="SF23" s="228"/>
      <c r="SG23" s="228"/>
      <c r="SH23" s="228"/>
      <c r="SI23" s="226"/>
      <c r="SJ23" s="226"/>
      <c r="SK23" s="224"/>
      <c r="SL23" s="225"/>
      <c r="SM23" s="226"/>
      <c r="SN23" s="227"/>
      <c r="SO23" s="228"/>
      <c r="SP23" s="228"/>
      <c r="SQ23" s="228"/>
      <c r="SR23" s="228"/>
      <c r="SS23" s="228"/>
      <c r="ST23" s="228"/>
      <c r="SU23" s="226"/>
      <c r="SV23" s="226"/>
      <c r="SW23" s="224"/>
      <c r="SX23" s="225"/>
      <c r="SY23" s="226"/>
      <c r="SZ23" s="227"/>
      <c r="TA23" s="228"/>
      <c r="TB23" s="228"/>
      <c r="TC23" s="228"/>
      <c r="TD23" s="228"/>
      <c r="TE23" s="228"/>
      <c r="TF23" s="228"/>
      <c r="TG23" s="226"/>
      <c r="TH23" s="226"/>
      <c r="TI23" s="224"/>
      <c r="TJ23" s="225"/>
      <c r="TK23" s="226"/>
      <c r="TL23" s="227"/>
      <c r="TM23" s="228"/>
      <c r="TN23" s="228"/>
      <c r="TO23" s="228"/>
      <c r="TP23" s="228"/>
      <c r="TQ23" s="228"/>
      <c r="TR23" s="228"/>
      <c r="TS23" s="226"/>
      <c r="TT23" s="226"/>
      <c r="TU23" s="224"/>
      <c r="TV23" s="225"/>
      <c r="TW23" s="226"/>
      <c r="TX23" s="227"/>
      <c r="TY23" s="228"/>
      <c r="TZ23" s="228"/>
      <c r="UA23" s="228"/>
      <c r="UB23" s="228"/>
      <c r="UC23" s="228"/>
      <c r="UD23" s="228"/>
      <c r="UE23" s="226"/>
      <c r="UF23" s="226"/>
      <c r="UG23" s="224"/>
      <c r="UH23" s="225"/>
      <c r="UI23" s="226"/>
      <c r="UJ23" s="227"/>
      <c r="UK23" s="228"/>
      <c r="UL23" s="228"/>
      <c r="UM23" s="228"/>
      <c r="UN23" s="228"/>
      <c r="UO23" s="228"/>
      <c r="UP23" s="228"/>
      <c r="UQ23" s="226"/>
      <c r="UR23" s="226"/>
      <c r="US23" s="224"/>
      <c r="UT23" s="225"/>
      <c r="UU23" s="226"/>
      <c r="UV23" s="227"/>
      <c r="UW23" s="228"/>
      <c r="UX23" s="228"/>
      <c r="UY23" s="228"/>
      <c r="UZ23" s="228"/>
      <c r="VA23" s="228"/>
      <c r="VB23" s="228"/>
      <c r="VC23" s="226"/>
      <c r="VD23" s="226"/>
      <c r="VE23" s="224"/>
      <c r="VF23" s="225"/>
      <c r="VG23" s="226"/>
      <c r="VH23" s="227"/>
      <c r="VI23" s="228"/>
      <c r="VJ23" s="228"/>
      <c r="VK23" s="228"/>
      <c r="VL23" s="228"/>
      <c r="VM23" s="228"/>
      <c r="VN23" s="228"/>
      <c r="VO23" s="226"/>
      <c r="VP23" s="226"/>
      <c r="VQ23" s="224"/>
      <c r="VR23" s="225"/>
      <c r="VS23" s="226"/>
      <c r="VT23" s="227"/>
      <c r="VU23" s="228"/>
      <c r="VV23" s="228"/>
      <c r="VW23" s="228"/>
      <c r="VX23" s="228"/>
      <c r="VY23" s="228"/>
      <c r="VZ23" s="228"/>
      <c r="WA23" s="226"/>
      <c r="WB23" s="226"/>
      <c r="WC23" s="224"/>
      <c r="WD23" s="225"/>
      <c r="WE23" s="226"/>
      <c r="WF23" s="227"/>
      <c r="WG23" s="228"/>
      <c r="WH23" s="228"/>
      <c r="WI23" s="228"/>
      <c r="WJ23" s="228"/>
      <c r="WK23" s="228"/>
      <c r="WL23" s="228"/>
      <c r="WM23" s="226"/>
      <c r="WN23" s="226"/>
      <c r="WO23" s="224"/>
      <c r="WP23" s="225"/>
      <c r="WQ23" s="226"/>
      <c r="WR23" s="227"/>
      <c r="WS23" s="228"/>
      <c r="WT23" s="228"/>
      <c r="WU23" s="228"/>
      <c r="WV23" s="228"/>
      <c r="WW23" s="228"/>
      <c r="WX23" s="228"/>
      <c r="WY23" s="226"/>
      <c r="WZ23" s="226"/>
      <c r="XA23" s="224"/>
      <c r="XB23" s="225"/>
      <c r="XC23" s="226"/>
      <c r="XD23" s="227"/>
      <c r="XE23" s="228"/>
      <c r="XF23" s="228"/>
      <c r="XG23" s="228"/>
      <c r="XH23" s="228"/>
      <c r="XI23" s="228"/>
      <c r="XJ23" s="228"/>
      <c r="XK23" s="226"/>
      <c r="XL23" s="226"/>
      <c r="XM23" s="224"/>
      <c r="XN23" s="225"/>
      <c r="XO23" s="226"/>
      <c r="XP23" s="227"/>
      <c r="XQ23" s="228"/>
      <c r="XR23" s="228"/>
      <c r="XS23" s="228"/>
      <c r="XT23" s="228"/>
      <c r="XU23" s="228"/>
      <c r="XV23" s="228"/>
      <c r="XW23" s="226"/>
      <c r="XX23" s="226"/>
      <c r="XY23" s="224"/>
      <c r="XZ23" s="225"/>
      <c r="YA23" s="226"/>
      <c r="YB23" s="227"/>
      <c r="YC23" s="228"/>
      <c r="YD23" s="228"/>
      <c r="YE23" s="228"/>
      <c r="YF23" s="228"/>
      <c r="YG23" s="228"/>
      <c r="YH23" s="228"/>
      <c r="YI23" s="226"/>
      <c r="YJ23" s="226"/>
      <c r="YK23" s="224"/>
      <c r="YL23" s="225"/>
      <c r="YM23" s="226"/>
      <c r="YN23" s="227"/>
      <c r="YO23" s="228"/>
      <c r="YP23" s="228"/>
      <c r="YQ23" s="228"/>
      <c r="YR23" s="228"/>
      <c r="YS23" s="228"/>
      <c r="YT23" s="228"/>
      <c r="YU23" s="226"/>
      <c r="YV23" s="226"/>
      <c r="YW23" s="224"/>
      <c r="YX23" s="225"/>
      <c r="YY23" s="226"/>
      <c r="YZ23" s="227"/>
      <c r="ZA23" s="228"/>
      <c r="ZB23" s="228"/>
      <c r="ZC23" s="228"/>
      <c r="ZD23" s="228"/>
      <c r="ZE23" s="228"/>
      <c r="ZF23" s="228"/>
      <c r="ZG23" s="226"/>
      <c r="ZH23" s="226"/>
      <c r="ZI23" s="224"/>
      <c r="ZJ23" s="225"/>
      <c r="ZK23" s="226"/>
      <c r="ZL23" s="227"/>
      <c r="ZM23" s="228"/>
      <c r="ZN23" s="228"/>
      <c r="ZO23" s="228"/>
      <c r="ZP23" s="228"/>
      <c r="ZQ23" s="228"/>
      <c r="ZR23" s="228"/>
      <c r="ZS23" s="226"/>
      <c r="ZT23" s="226"/>
      <c r="ZU23" s="224"/>
      <c r="ZV23" s="225"/>
      <c r="ZW23" s="226"/>
      <c r="ZX23" s="227"/>
      <c r="ZY23" s="228"/>
      <c r="ZZ23" s="228"/>
      <c r="AAA23" s="228"/>
      <c r="AAB23" s="228"/>
      <c r="AAC23" s="228"/>
      <c r="AAD23" s="228"/>
      <c r="AAE23" s="226"/>
      <c r="AAF23" s="226"/>
      <c r="AAG23" s="224"/>
      <c r="AAH23" s="225"/>
      <c r="AAI23" s="226"/>
      <c r="AAJ23" s="227"/>
      <c r="AAK23" s="228"/>
      <c r="AAL23" s="228"/>
      <c r="AAM23" s="228"/>
      <c r="AAN23" s="228"/>
      <c r="AAO23" s="228"/>
      <c r="AAP23" s="228"/>
      <c r="AAQ23" s="226"/>
      <c r="AAR23" s="226"/>
      <c r="AAS23" s="224"/>
      <c r="AAT23" s="225"/>
      <c r="AAU23" s="226"/>
      <c r="AAV23" s="227"/>
      <c r="AAW23" s="228"/>
      <c r="AAX23" s="228"/>
      <c r="AAY23" s="228"/>
      <c r="AAZ23" s="228"/>
      <c r="ABA23" s="228"/>
      <c r="ABB23" s="228"/>
      <c r="ABC23" s="226"/>
      <c r="ABD23" s="226"/>
      <c r="ABE23" s="224"/>
      <c r="ABF23" s="225"/>
      <c r="ABG23" s="226"/>
      <c r="ABH23" s="227"/>
      <c r="ABI23" s="228"/>
      <c r="ABJ23" s="228"/>
      <c r="ABK23" s="228"/>
      <c r="ABL23" s="228"/>
      <c r="ABM23" s="228"/>
      <c r="ABN23" s="228"/>
      <c r="ABO23" s="226"/>
      <c r="ABP23" s="226"/>
      <c r="ABQ23" s="224"/>
      <c r="ABR23" s="225"/>
      <c r="ABS23" s="226"/>
      <c r="ABT23" s="227"/>
      <c r="ABU23" s="228"/>
      <c r="ABV23" s="228"/>
      <c r="ABW23" s="228"/>
      <c r="ABX23" s="228"/>
      <c r="ABY23" s="228"/>
      <c r="ABZ23" s="228"/>
      <c r="ACA23" s="226"/>
      <c r="ACB23" s="226"/>
      <c r="ACC23" s="224"/>
      <c r="ACD23" s="225"/>
      <c r="ACE23" s="226"/>
      <c r="ACF23" s="227"/>
      <c r="ACG23" s="228"/>
      <c r="ACH23" s="228"/>
      <c r="ACI23" s="228"/>
      <c r="ACJ23" s="228"/>
      <c r="ACK23" s="228"/>
      <c r="ACL23" s="228"/>
      <c r="ACM23" s="226"/>
      <c r="ACN23" s="226"/>
      <c r="ACO23" s="224"/>
      <c r="ACP23" s="225"/>
      <c r="ACQ23" s="226"/>
      <c r="ACR23" s="227"/>
      <c r="ACS23" s="228"/>
      <c r="ACT23" s="228"/>
      <c r="ACU23" s="228"/>
      <c r="ACV23" s="228"/>
      <c r="ACW23" s="228"/>
      <c r="ACX23" s="228"/>
      <c r="ACY23" s="226"/>
      <c r="ACZ23" s="226"/>
      <c r="ADA23" s="224"/>
      <c r="ADB23" s="225"/>
      <c r="ADC23" s="226"/>
      <c r="ADD23" s="227"/>
      <c r="ADE23" s="228"/>
      <c r="ADF23" s="228"/>
      <c r="ADG23" s="228"/>
      <c r="ADH23" s="228"/>
      <c r="ADI23" s="228"/>
      <c r="ADJ23" s="228"/>
      <c r="ADK23" s="226"/>
      <c r="ADL23" s="226"/>
      <c r="ADM23" s="224"/>
      <c r="ADN23" s="225"/>
      <c r="ADO23" s="226"/>
      <c r="ADP23" s="227"/>
      <c r="ADQ23" s="228"/>
      <c r="ADR23" s="228"/>
      <c r="ADS23" s="228"/>
      <c r="ADT23" s="228"/>
      <c r="ADU23" s="228"/>
      <c r="ADV23" s="228"/>
      <c r="ADW23" s="226"/>
      <c r="ADX23" s="226"/>
      <c r="ADY23" s="224"/>
      <c r="ADZ23" s="225"/>
      <c r="AEA23" s="226"/>
      <c r="AEB23" s="227"/>
      <c r="AEC23" s="228"/>
      <c r="AED23" s="228"/>
      <c r="AEE23" s="228"/>
      <c r="AEF23" s="228"/>
      <c r="AEG23" s="228"/>
      <c r="AEH23" s="228"/>
      <c r="AEI23" s="226"/>
      <c r="AEJ23" s="226"/>
      <c r="AEK23" s="224"/>
      <c r="AEL23" s="225"/>
      <c r="AEM23" s="226"/>
      <c r="AEN23" s="227"/>
      <c r="AEO23" s="228"/>
      <c r="AEP23" s="228"/>
      <c r="AEQ23" s="228"/>
      <c r="AER23" s="228"/>
      <c r="AES23" s="228"/>
      <c r="AET23" s="228"/>
      <c r="AEU23" s="226"/>
      <c r="AEV23" s="226"/>
      <c r="AEW23" s="224"/>
      <c r="AEX23" s="225"/>
      <c r="AEY23" s="226"/>
      <c r="AEZ23" s="227"/>
      <c r="AFA23" s="228"/>
      <c r="AFB23" s="228"/>
      <c r="AFC23" s="228"/>
      <c r="AFD23" s="228"/>
      <c r="AFE23" s="228"/>
      <c r="AFF23" s="228"/>
      <c r="AFG23" s="226"/>
      <c r="AFH23" s="226"/>
      <c r="AFI23" s="224"/>
      <c r="AFJ23" s="225"/>
      <c r="AFK23" s="226"/>
      <c r="AFL23" s="227"/>
      <c r="AFM23" s="228"/>
      <c r="AFN23" s="228"/>
      <c r="AFO23" s="228"/>
      <c r="AFP23" s="228"/>
      <c r="AFQ23" s="228"/>
      <c r="AFR23" s="228"/>
      <c r="AFS23" s="226"/>
      <c r="AFT23" s="226"/>
      <c r="AFU23" s="224"/>
      <c r="AFV23" s="225"/>
      <c r="AFW23" s="226"/>
      <c r="AFX23" s="227"/>
      <c r="AFY23" s="228"/>
      <c r="AFZ23" s="228"/>
      <c r="AGA23" s="228"/>
      <c r="AGB23" s="228"/>
      <c r="AGC23" s="228"/>
      <c r="AGD23" s="228"/>
      <c r="AGE23" s="226"/>
      <c r="AGF23" s="226"/>
      <c r="AGG23" s="224"/>
      <c r="AGH23" s="225"/>
      <c r="AGI23" s="226"/>
      <c r="AGJ23" s="227"/>
      <c r="AGK23" s="228"/>
      <c r="AGL23" s="228"/>
      <c r="AGM23" s="228"/>
      <c r="AGN23" s="228"/>
      <c r="AGO23" s="228"/>
      <c r="AGP23" s="228"/>
      <c r="AGQ23" s="226"/>
      <c r="AGR23" s="226"/>
      <c r="AGS23" s="224"/>
      <c r="AGT23" s="225"/>
      <c r="AGU23" s="226"/>
      <c r="AGV23" s="227"/>
      <c r="AGW23" s="228"/>
      <c r="AGX23" s="228"/>
      <c r="AGY23" s="228"/>
      <c r="AGZ23" s="228"/>
      <c r="AHA23" s="228"/>
      <c r="AHB23" s="228"/>
      <c r="AHC23" s="226"/>
      <c r="AHD23" s="226"/>
      <c r="AHE23" s="224"/>
      <c r="AHF23" s="225"/>
      <c r="AHG23" s="226"/>
      <c r="AHH23" s="227"/>
      <c r="AHI23" s="228"/>
      <c r="AHJ23" s="228"/>
      <c r="AHK23" s="228"/>
      <c r="AHL23" s="228"/>
      <c r="AHM23" s="228"/>
      <c r="AHN23" s="228"/>
      <c r="AHO23" s="226"/>
      <c r="AHP23" s="226"/>
      <c r="AHQ23" s="224"/>
      <c r="AHR23" s="225"/>
      <c r="AHS23" s="226"/>
      <c r="AHT23" s="227"/>
      <c r="AHU23" s="228"/>
      <c r="AHV23" s="228"/>
      <c r="AHW23" s="228"/>
      <c r="AHX23" s="228"/>
      <c r="AHY23" s="228"/>
      <c r="AHZ23" s="228"/>
      <c r="AIA23" s="226"/>
      <c r="AIB23" s="226"/>
      <c r="AIC23" s="224"/>
      <c r="AID23" s="225"/>
      <c r="AIE23" s="226"/>
      <c r="AIF23" s="227"/>
      <c r="AIG23" s="228"/>
      <c r="AIH23" s="228"/>
      <c r="AII23" s="228"/>
      <c r="AIJ23" s="228"/>
      <c r="AIK23" s="228"/>
      <c r="AIL23" s="228"/>
      <c r="AIM23" s="226"/>
      <c r="AIN23" s="226"/>
      <c r="AIO23" s="224"/>
      <c r="AIP23" s="225"/>
      <c r="AIQ23" s="226"/>
      <c r="AIR23" s="227"/>
      <c r="AIS23" s="228"/>
      <c r="AIT23" s="228"/>
      <c r="AIU23" s="228"/>
      <c r="AIV23" s="228"/>
      <c r="AIW23" s="228"/>
      <c r="AIX23" s="228"/>
      <c r="AIY23" s="226"/>
      <c r="AIZ23" s="226"/>
      <c r="AJA23" s="224"/>
      <c r="AJB23" s="225"/>
      <c r="AJC23" s="226"/>
      <c r="AJD23" s="227"/>
      <c r="AJE23" s="228"/>
      <c r="AJF23" s="228"/>
      <c r="AJG23" s="228"/>
      <c r="AJH23" s="228"/>
      <c r="AJI23" s="228"/>
      <c r="AJJ23" s="228"/>
      <c r="AJK23" s="226"/>
      <c r="AJL23" s="226"/>
      <c r="AJM23" s="224"/>
      <c r="AJN23" s="225"/>
      <c r="AJO23" s="226"/>
      <c r="AJP23" s="227"/>
      <c r="AJQ23" s="228"/>
      <c r="AJR23" s="228"/>
      <c r="AJS23" s="228"/>
      <c r="AJT23" s="228"/>
      <c r="AJU23" s="228"/>
      <c r="AJV23" s="228"/>
      <c r="AJW23" s="226"/>
      <c r="AJX23" s="226"/>
      <c r="AJY23" s="224"/>
      <c r="AJZ23" s="225"/>
      <c r="AKA23" s="226"/>
      <c r="AKB23" s="227"/>
      <c r="AKC23" s="228"/>
      <c r="AKD23" s="228"/>
      <c r="AKE23" s="228"/>
      <c r="AKF23" s="228"/>
      <c r="AKG23" s="228"/>
      <c r="AKH23" s="228"/>
      <c r="AKI23" s="226"/>
      <c r="AKJ23" s="226"/>
      <c r="AKK23" s="224"/>
      <c r="AKL23" s="225"/>
      <c r="AKM23" s="226"/>
      <c r="AKN23" s="227"/>
      <c r="AKO23" s="228"/>
      <c r="AKP23" s="228"/>
      <c r="AKQ23" s="228"/>
      <c r="AKR23" s="228"/>
      <c r="AKS23" s="228"/>
      <c r="AKT23" s="228"/>
      <c r="AKU23" s="226"/>
      <c r="AKV23" s="226"/>
      <c r="AKW23" s="224"/>
      <c r="AKX23" s="225"/>
      <c r="AKY23" s="226"/>
      <c r="AKZ23" s="227"/>
      <c r="ALA23" s="228"/>
      <c r="ALB23" s="228"/>
      <c r="ALC23" s="228"/>
      <c r="ALD23" s="228"/>
      <c r="ALE23" s="228"/>
      <c r="ALF23" s="228"/>
      <c r="ALG23" s="226"/>
      <c r="ALH23" s="226"/>
      <c r="ALI23" s="224"/>
      <c r="ALJ23" s="225"/>
      <c r="ALK23" s="226"/>
      <c r="ALL23" s="227"/>
      <c r="ALM23" s="228"/>
      <c r="ALN23" s="228"/>
      <c r="ALO23" s="228"/>
      <c r="ALP23" s="228"/>
      <c r="ALQ23" s="228"/>
      <c r="ALR23" s="228"/>
      <c r="ALS23" s="226"/>
      <c r="ALT23" s="226"/>
      <c r="ALU23" s="224"/>
      <c r="ALV23" s="225"/>
      <c r="ALW23" s="226"/>
      <c r="ALX23" s="227"/>
      <c r="ALY23" s="228"/>
      <c r="ALZ23" s="228"/>
      <c r="AMA23" s="228"/>
      <c r="AMB23" s="228"/>
      <c r="AMC23" s="228"/>
      <c r="AMD23" s="228"/>
      <c r="AME23" s="226"/>
      <c r="AMF23" s="226"/>
      <c r="AMG23" s="224"/>
      <c r="AMH23" s="225"/>
      <c r="AMI23" s="226"/>
      <c r="AMJ23" s="227"/>
      <c r="AMK23" s="228"/>
      <c r="AML23" s="228"/>
      <c r="AMM23" s="228"/>
      <c r="AMN23" s="228"/>
      <c r="AMO23" s="228"/>
      <c r="AMP23" s="228"/>
      <c r="AMQ23" s="226"/>
      <c r="AMR23" s="226"/>
      <c r="AMS23" s="224"/>
      <c r="AMT23" s="225"/>
      <c r="AMU23" s="226"/>
      <c r="AMV23" s="227"/>
      <c r="AMW23" s="228"/>
      <c r="AMX23" s="228"/>
      <c r="AMY23" s="228"/>
      <c r="AMZ23" s="228"/>
      <c r="ANA23" s="228"/>
      <c r="ANB23" s="228"/>
      <c r="ANC23" s="226"/>
      <c r="AND23" s="226"/>
      <c r="ANE23" s="224"/>
      <c r="ANF23" s="225"/>
      <c r="ANG23" s="226"/>
      <c r="ANH23" s="227"/>
      <c r="ANI23" s="228"/>
      <c r="ANJ23" s="228"/>
      <c r="ANK23" s="228"/>
      <c r="ANL23" s="228"/>
      <c r="ANM23" s="228"/>
      <c r="ANN23" s="228"/>
      <c r="ANO23" s="226"/>
      <c r="ANP23" s="226"/>
      <c r="ANQ23" s="224"/>
      <c r="ANR23" s="225"/>
      <c r="ANS23" s="226"/>
      <c r="ANT23" s="227"/>
      <c r="ANU23" s="228"/>
      <c r="ANV23" s="228"/>
      <c r="ANW23" s="228"/>
      <c r="ANX23" s="228"/>
      <c r="ANY23" s="228"/>
      <c r="ANZ23" s="228"/>
      <c r="AOA23" s="226"/>
      <c r="AOB23" s="226"/>
      <c r="AOC23" s="224"/>
      <c r="AOD23" s="225"/>
      <c r="AOE23" s="226"/>
      <c r="AOF23" s="227"/>
      <c r="AOG23" s="228"/>
      <c r="AOH23" s="228"/>
      <c r="AOI23" s="228"/>
      <c r="AOJ23" s="228"/>
      <c r="AOK23" s="228"/>
      <c r="AOL23" s="228"/>
      <c r="AOM23" s="226"/>
      <c r="AON23" s="226"/>
      <c r="AOO23" s="224"/>
      <c r="AOP23" s="225"/>
      <c r="AOQ23" s="226"/>
      <c r="AOR23" s="227"/>
      <c r="AOS23" s="228"/>
      <c r="AOT23" s="228"/>
      <c r="AOU23" s="228"/>
      <c r="AOV23" s="228"/>
      <c r="AOW23" s="228"/>
      <c r="AOX23" s="228"/>
      <c r="AOY23" s="226"/>
      <c r="AOZ23" s="226"/>
      <c r="APA23" s="224"/>
      <c r="APB23" s="225"/>
      <c r="APC23" s="226"/>
      <c r="APD23" s="227"/>
      <c r="APE23" s="228"/>
      <c r="APF23" s="228"/>
      <c r="APG23" s="228"/>
      <c r="APH23" s="228"/>
      <c r="API23" s="228"/>
      <c r="APJ23" s="228"/>
      <c r="APK23" s="226"/>
      <c r="APL23" s="226"/>
      <c r="APM23" s="224"/>
      <c r="APN23" s="225"/>
      <c r="APO23" s="226"/>
      <c r="APP23" s="227"/>
      <c r="APQ23" s="228"/>
      <c r="APR23" s="228"/>
      <c r="APS23" s="228"/>
      <c r="APT23" s="228"/>
      <c r="APU23" s="228"/>
      <c r="APV23" s="228"/>
      <c r="APW23" s="226"/>
      <c r="APX23" s="226"/>
      <c r="APY23" s="224"/>
      <c r="APZ23" s="225"/>
      <c r="AQA23" s="226"/>
      <c r="AQB23" s="227"/>
      <c r="AQC23" s="228"/>
      <c r="AQD23" s="228"/>
      <c r="AQE23" s="228"/>
      <c r="AQF23" s="228"/>
      <c r="AQG23" s="228"/>
      <c r="AQH23" s="228"/>
      <c r="AQI23" s="226"/>
      <c r="AQJ23" s="226"/>
      <c r="AQK23" s="224"/>
      <c r="AQL23" s="225"/>
      <c r="AQM23" s="226"/>
      <c r="AQN23" s="227"/>
      <c r="AQO23" s="228"/>
      <c r="AQP23" s="228"/>
      <c r="AQQ23" s="228"/>
      <c r="AQR23" s="228"/>
      <c r="AQS23" s="228"/>
      <c r="AQT23" s="228"/>
      <c r="AQU23" s="226"/>
      <c r="AQV23" s="226"/>
      <c r="AQW23" s="224"/>
      <c r="AQX23" s="225"/>
      <c r="AQY23" s="226"/>
      <c r="AQZ23" s="227"/>
      <c r="ARA23" s="228"/>
      <c r="ARB23" s="228"/>
      <c r="ARC23" s="228"/>
      <c r="ARD23" s="228"/>
      <c r="ARE23" s="228"/>
      <c r="ARF23" s="228"/>
      <c r="ARG23" s="226"/>
      <c r="ARH23" s="226"/>
      <c r="ARI23" s="224"/>
      <c r="ARJ23" s="225"/>
      <c r="ARK23" s="226"/>
      <c r="ARL23" s="227"/>
      <c r="ARM23" s="228"/>
      <c r="ARN23" s="228"/>
      <c r="ARO23" s="228"/>
      <c r="ARP23" s="228"/>
      <c r="ARQ23" s="228"/>
      <c r="ARR23" s="228"/>
      <c r="ARS23" s="226"/>
      <c r="ART23" s="226"/>
      <c r="ARU23" s="224"/>
      <c r="ARV23" s="225"/>
      <c r="ARW23" s="226"/>
      <c r="ARX23" s="227"/>
      <c r="ARY23" s="228"/>
      <c r="ARZ23" s="228"/>
      <c r="ASA23" s="228"/>
      <c r="ASB23" s="228"/>
      <c r="ASC23" s="228"/>
      <c r="ASD23" s="228"/>
      <c r="ASE23" s="226"/>
      <c r="ASF23" s="226"/>
      <c r="ASG23" s="224"/>
      <c r="ASH23" s="225"/>
      <c r="ASI23" s="226"/>
      <c r="ASJ23" s="227"/>
      <c r="ASK23" s="228"/>
      <c r="ASL23" s="228"/>
      <c r="ASM23" s="228"/>
      <c r="ASN23" s="228"/>
      <c r="ASO23" s="228"/>
      <c r="ASP23" s="228"/>
      <c r="ASQ23" s="226"/>
      <c r="ASR23" s="226"/>
      <c r="ASS23" s="224"/>
      <c r="AST23" s="225"/>
      <c r="ASU23" s="226"/>
      <c r="ASV23" s="227"/>
      <c r="ASW23" s="228"/>
      <c r="ASX23" s="228"/>
      <c r="ASY23" s="228"/>
      <c r="ASZ23" s="228"/>
      <c r="ATA23" s="228"/>
      <c r="ATB23" s="228"/>
      <c r="ATC23" s="226"/>
      <c r="ATD23" s="226"/>
      <c r="ATE23" s="224"/>
      <c r="ATF23" s="225"/>
      <c r="ATG23" s="226"/>
      <c r="ATH23" s="227"/>
      <c r="ATI23" s="228"/>
      <c r="ATJ23" s="228"/>
      <c r="ATK23" s="228"/>
      <c r="ATL23" s="228"/>
      <c r="ATM23" s="228"/>
      <c r="ATN23" s="228"/>
      <c r="ATO23" s="226"/>
      <c r="ATP23" s="226"/>
      <c r="ATQ23" s="224"/>
      <c r="ATR23" s="225"/>
      <c r="ATS23" s="226"/>
      <c r="ATT23" s="227"/>
      <c r="ATU23" s="228"/>
      <c r="ATV23" s="228"/>
      <c r="ATW23" s="228"/>
      <c r="ATX23" s="228"/>
      <c r="ATY23" s="228"/>
      <c r="ATZ23" s="228"/>
      <c r="AUA23" s="226"/>
      <c r="AUB23" s="226"/>
      <c r="AUC23" s="224"/>
      <c r="AUD23" s="225"/>
      <c r="AUE23" s="226"/>
      <c r="AUF23" s="227"/>
      <c r="AUG23" s="228"/>
      <c r="AUH23" s="228"/>
      <c r="AUI23" s="228"/>
      <c r="AUJ23" s="228"/>
      <c r="AUK23" s="228"/>
      <c r="AUL23" s="228"/>
      <c r="AUM23" s="226"/>
      <c r="AUN23" s="226"/>
      <c r="AUO23" s="224"/>
      <c r="AUP23" s="225"/>
      <c r="AUQ23" s="226"/>
      <c r="AUR23" s="227"/>
      <c r="AUS23" s="228"/>
      <c r="AUT23" s="228"/>
      <c r="AUU23" s="228"/>
      <c r="AUV23" s="228"/>
      <c r="AUW23" s="228"/>
      <c r="AUX23" s="228"/>
      <c r="AUY23" s="226"/>
      <c r="AUZ23" s="226"/>
      <c r="AVA23" s="224"/>
      <c r="AVB23" s="225"/>
      <c r="AVC23" s="226"/>
      <c r="AVD23" s="227"/>
      <c r="AVE23" s="228"/>
      <c r="AVF23" s="228"/>
      <c r="AVG23" s="228"/>
      <c r="AVH23" s="228"/>
      <c r="AVI23" s="228"/>
      <c r="AVJ23" s="228"/>
      <c r="AVK23" s="226"/>
      <c r="AVL23" s="226"/>
      <c r="AVM23" s="224"/>
      <c r="AVN23" s="225"/>
      <c r="AVO23" s="226"/>
      <c r="AVP23" s="227"/>
      <c r="AVQ23" s="228"/>
      <c r="AVR23" s="228"/>
      <c r="AVS23" s="228"/>
      <c r="AVT23" s="228"/>
      <c r="AVU23" s="228"/>
      <c r="AVV23" s="228"/>
      <c r="AVW23" s="226"/>
      <c r="AVX23" s="226"/>
      <c r="AVY23" s="224"/>
      <c r="AVZ23" s="225"/>
      <c r="AWA23" s="226"/>
      <c r="AWB23" s="227"/>
      <c r="AWC23" s="228"/>
      <c r="AWD23" s="228"/>
      <c r="AWE23" s="228"/>
      <c r="AWF23" s="228"/>
      <c r="AWG23" s="228"/>
      <c r="AWH23" s="228"/>
      <c r="AWI23" s="226"/>
      <c r="AWJ23" s="226"/>
      <c r="AWK23" s="224"/>
      <c r="AWL23" s="225"/>
      <c r="AWM23" s="226"/>
      <c r="AWN23" s="227"/>
      <c r="AWO23" s="228"/>
      <c r="AWP23" s="228"/>
      <c r="AWQ23" s="228"/>
      <c r="AWR23" s="228"/>
      <c r="AWS23" s="228"/>
      <c r="AWT23" s="228"/>
      <c r="AWU23" s="226"/>
      <c r="AWV23" s="226"/>
      <c r="AWW23" s="224"/>
      <c r="AWX23" s="225"/>
      <c r="AWY23" s="226"/>
      <c r="AWZ23" s="227"/>
      <c r="AXA23" s="228"/>
      <c r="AXB23" s="228"/>
      <c r="AXC23" s="228"/>
      <c r="AXD23" s="228"/>
      <c r="AXE23" s="228"/>
      <c r="AXF23" s="228"/>
      <c r="AXG23" s="226"/>
      <c r="AXH23" s="226"/>
      <c r="AXI23" s="224"/>
      <c r="AXJ23" s="225"/>
      <c r="AXK23" s="226"/>
      <c r="AXL23" s="227"/>
      <c r="AXM23" s="228"/>
      <c r="AXN23" s="228"/>
      <c r="AXO23" s="228"/>
      <c r="AXP23" s="228"/>
      <c r="AXQ23" s="228"/>
      <c r="AXR23" s="228"/>
      <c r="AXS23" s="226"/>
      <c r="AXT23" s="226"/>
      <c r="AXU23" s="224"/>
      <c r="AXV23" s="225"/>
      <c r="AXW23" s="226"/>
      <c r="AXX23" s="227"/>
      <c r="AXY23" s="228"/>
      <c r="AXZ23" s="228"/>
      <c r="AYA23" s="228"/>
      <c r="AYB23" s="228"/>
      <c r="AYC23" s="228"/>
      <c r="AYD23" s="228"/>
      <c r="AYE23" s="226"/>
      <c r="AYF23" s="226"/>
      <c r="AYG23" s="224"/>
      <c r="AYH23" s="225"/>
      <c r="AYI23" s="226"/>
      <c r="AYJ23" s="227"/>
      <c r="AYK23" s="228"/>
      <c r="AYL23" s="228"/>
      <c r="AYM23" s="228"/>
      <c r="AYN23" s="228"/>
      <c r="AYO23" s="228"/>
      <c r="AYP23" s="228"/>
      <c r="AYQ23" s="226"/>
      <c r="AYR23" s="226"/>
      <c r="AYS23" s="224"/>
      <c r="AYT23" s="225"/>
      <c r="AYU23" s="226"/>
      <c r="AYV23" s="227"/>
      <c r="AYW23" s="228"/>
      <c r="AYX23" s="228"/>
      <c r="AYY23" s="228"/>
      <c r="AYZ23" s="228"/>
      <c r="AZA23" s="228"/>
      <c r="AZB23" s="228"/>
      <c r="AZC23" s="226"/>
      <c r="AZD23" s="226"/>
      <c r="AZE23" s="224"/>
      <c r="AZF23" s="225"/>
      <c r="AZG23" s="226"/>
      <c r="AZH23" s="227"/>
      <c r="AZI23" s="228"/>
      <c r="AZJ23" s="228"/>
      <c r="AZK23" s="228"/>
      <c r="AZL23" s="228"/>
      <c r="AZM23" s="228"/>
      <c r="AZN23" s="228"/>
      <c r="AZO23" s="226"/>
      <c r="AZP23" s="226"/>
      <c r="AZQ23" s="224"/>
      <c r="AZR23" s="225"/>
      <c r="AZS23" s="226"/>
      <c r="AZT23" s="227"/>
      <c r="AZU23" s="228"/>
      <c r="AZV23" s="228"/>
      <c r="AZW23" s="228"/>
      <c r="AZX23" s="228"/>
      <c r="AZY23" s="228"/>
      <c r="AZZ23" s="228"/>
      <c r="BAA23" s="226"/>
      <c r="BAB23" s="226"/>
      <c r="BAC23" s="224"/>
      <c r="BAD23" s="225"/>
      <c r="BAE23" s="226"/>
      <c r="BAF23" s="227"/>
      <c r="BAG23" s="228"/>
      <c r="BAH23" s="228"/>
      <c r="BAI23" s="228"/>
      <c r="BAJ23" s="228"/>
      <c r="BAK23" s="228"/>
      <c r="BAL23" s="228"/>
      <c r="BAM23" s="226"/>
      <c r="BAN23" s="226"/>
      <c r="BAO23" s="224"/>
      <c r="BAP23" s="225"/>
      <c r="BAQ23" s="226"/>
      <c r="BAR23" s="227"/>
      <c r="BAS23" s="228"/>
      <c r="BAT23" s="228"/>
      <c r="BAU23" s="228"/>
      <c r="BAV23" s="228"/>
      <c r="BAW23" s="228"/>
      <c r="BAX23" s="228"/>
      <c r="BAY23" s="226"/>
      <c r="BAZ23" s="226"/>
      <c r="BBA23" s="224"/>
      <c r="BBB23" s="225"/>
      <c r="BBC23" s="226"/>
      <c r="BBD23" s="227"/>
      <c r="BBE23" s="228"/>
      <c r="BBF23" s="228"/>
      <c r="BBG23" s="228"/>
      <c r="BBH23" s="228"/>
      <c r="BBI23" s="228"/>
      <c r="BBJ23" s="228"/>
      <c r="BBK23" s="226"/>
      <c r="BBL23" s="226"/>
      <c r="BBM23" s="224"/>
      <c r="BBN23" s="225"/>
      <c r="BBO23" s="226"/>
      <c r="BBP23" s="227"/>
      <c r="BBQ23" s="228"/>
      <c r="BBR23" s="228"/>
      <c r="BBS23" s="228"/>
      <c r="BBT23" s="228"/>
      <c r="BBU23" s="228"/>
      <c r="BBV23" s="228"/>
      <c r="BBW23" s="226"/>
      <c r="BBX23" s="226"/>
      <c r="BBY23" s="224"/>
      <c r="BBZ23" s="225"/>
      <c r="BCA23" s="226"/>
      <c r="BCB23" s="227"/>
      <c r="BCC23" s="228"/>
      <c r="BCD23" s="228"/>
      <c r="BCE23" s="228"/>
      <c r="BCF23" s="228"/>
      <c r="BCG23" s="228"/>
      <c r="BCH23" s="228"/>
      <c r="BCI23" s="226"/>
      <c r="BCJ23" s="226"/>
      <c r="BCK23" s="224"/>
      <c r="BCL23" s="225"/>
      <c r="BCM23" s="226"/>
      <c r="BCN23" s="227"/>
      <c r="BCO23" s="228"/>
      <c r="BCP23" s="228"/>
      <c r="BCQ23" s="228"/>
      <c r="BCR23" s="228"/>
      <c r="BCS23" s="228"/>
      <c r="BCT23" s="228"/>
      <c r="BCU23" s="226"/>
      <c r="BCV23" s="226"/>
      <c r="BCW23" s="224"/>
      <c r="BCX23" s="225"/>
      <c r="BCY23" s="226"/>
      <c r="BCZ23" s="227"/>
      <c r="BDA23" s="228"/>
      <c r="BDB23" s="228"/>
      <c r="BDC23" s="228"/>
      <c r="BDD23" s="228"/>
      <c r="BDE23" s="228"/>
      <c r="BDF23" s="228"/>
      <c r="BDG23" s="226"/>
      <c r="BDH23" s="226"/>
      <c r="BDI23" s="224"/>
      <c r="BDJ23" s="225"/>
      <c r="BDK23" s="226"/>
      <c r="BDL23" s="227"/>
      <c r="BDM23" s="228"/>
      <c r="BDN23" s="228"/>
      <c r="BDO23" s="228"/>
      <c r="BDP23" s="228"/>
      <c r="BDQ23" s="228"/>
      <c r="BDR23" s="228"/>
      <c r="BDS23" s="226"/>
      <c r="BDT23" s="226"/>
      <c r="BDU23" s="224"/>
      <c r="BDV23" s="225"/>
      <c r="BDW23" s="226"/>
      <c r="BDX23" s="227"/>
      <c r="BDY23" s="228"/>
      <c r="BDZ23" s="228"/>
      <c r="BEA23" s="228"/>
      <c r="BEB23" s="228"/>
      <c r="BEC23" s="228"/>
      <c r="BED23" s="228"/>
      <c r="BEE23" s="226"/>
      <c r="BEF23" s="226"/>
      <c r="BEG23" s="224"/>
      <c r="BEH23" s="225"/>
      <c r="BEI23" s="226"/>
      <c r="BEJ23" s="227"/>
      <c r="BEK23" s="228"/>
      <c r="BEL23" s="228"/>
      <c r="BEM23" s="228"/>
      <c r="BEN23" s="228"/>
      <c r="BEO23" s="228"/>
      <c r="BEP23" s="228"/>
      <c r="BEQ23" s="226"/>
      <c r="BER23" s="226"/>
      <c r="BES23" s="224"/>
      <c r="BET23" s="225"/>
      <c r="BEU23" s="226"/>
      <c r="BEV23" s="227"/>
      <c r="BEW23" s="228"/>
      <c r="BEX23" s="228"/>
      <c r="BEY23" s="228"/>
      <c r="BEZ23" s="228"/>
      <c r="BFA23" s="228"/>
      <c r="BFB23" s="228"/>
      <c r="BFC23" s="226"/>
      <c r="BFD23" s="226"/>
      <c r="BFE23" s="224"/>
      <c r="BFF23" s="225"/>
      <c r="BFG23" s="226"/>
      <c r="BFH23" s="227"/>
      <c r="BFI23" s="228"/>
      <c r="BFJ23" s="228"/>
      <c r="BFK23" s="228"/>
      <c r="BFL23" s="228"/>
      <c r="BFM23" s="228"/>
      <c r="BFN23" s="228"/>
      <c r="BFO23" s="226"/>
      <c r="BFP23" s="226"/>
      <c r="BFQ23" s="224"/>
      <c r="BFR23" s="225"/>
      <c r="BFS23" s="226"/>
      <c r="BFT23" s="227"/>
      <c r="BFU23" s="228"/>
      <c r="BFV23" s="228"/>
      <c r="BFW23" s="228"/>
      <c r="BFX23" s="228"/>
      <c r="BFY23" s="228"/>
      <c r="BFZ23" s="228"/>
      <c r="BGA23" s="226"/>
      <c r="BGB23" s="226"/>
      <c r="BGC23" s="224"/>
      <c r="BGD23" s="225"/>
      <c r="BGE23" s="226"/>
      <c r="BGF23" s="227"/>
      <c r="BGG23" s="228"/>
      <c r="BGH23" s="228"/>
      <c r="BGI23" s="228"/>
      <c r="BGJ23" s="228"/>
      <c r="BGK23" s="228"/>
      <c r="BGL23" s="228"/>
      <c r="BGM23" s="226"/>
      <c r="BGN23" s="226"/>
      <c r="BGO23" s="224"/>
      <c r="BGP23" s="225"/>
      <c r="BGQ23" s="226"/>
      <c r="BGR23" s="227"/>
      <c r="BGS23" s="228"/>
      <c r="BGT23" s="228"/>
      <c r="BGU23" s="228"/>
      <c r="BGV23" s="228"/>
      <c r="BGW23" s="228"/>
      <c r="BGX23" s="228"/>
      <c r="BGY23" s="226"/>
      <c r="BGZ23" s="226"/>
      <c r="BHA23" s="224"/>
      <c r="BHB23" s="225"/>
      <c r="BHC23" s="226"/>
      <c r="BHD23" s="227"/>
      <c r="BHE23" s="228"/>
      <c r="BHF23" s="228"/>
      <c r="BHG23" s="228"/>
      <c r="BHH23" s="228"/>
      <c r="BHI23" s="228"/>
      <c r="BHJ23" s="228"/>
      <c r="BHK23" s="226"/>
      <c r="BHL23" s="226"/>
      <c r="BHM23" s="224"/>
      <c r="BHN23" s="225"/>
      <c r="BHO23" s="226"/>
      <c r="BHP23" s="227"/>
      <c r="BHQ23" s="228"/>
      <c r="BHR23" s="228"/>
      <c r="BHS23" s="228"/>
      <c r="BHT23" s="228"/>
      <c r="BHU23" s="228"/>
      <c r="BHV23" s="228"/>
      <c r="BHW23" s="226"/>
      <c r="BHX23" s="226"/>
      <c r="BHY23" s="224"/>
      <c r="BHZ23" s="225"/>
      <c r="BIA23" s="226"/>
      <c r="BIB23" s="227"/>
      <c r="BIC23" s="228"/>
      <c r="BID23" s="228"/>
      <c r="BIE23" s="228"/>
      <c r="BIF23" s="228"/>
      <c r="BIG23" s="228"/>
      <c r="BIH23" s="228"/>
      <c r="BII23" s="226"/>
      <c r="BIJ23" s="226"/>
      <c r="BIK23" s="224"/>
      <c r="BIL23" s="225"/>
      <c r="BIM23" s="226"/>
      <c r="BIN23" s="227"/>
      <c r="BIO23" s="228"/>
      <c r="BIP23" s="228"/>
      <c r="BIQ23" s="228"/>
      <c r="BIR23" s="228"/>
      <c r="BIS23" s="228"/>
      <c r="BIT23" s="228"/>
      <c r="BIU23" s="226"/>
      <c r="BIV23" s="226"/>
      <c r="BIW23" s="224"/>
      <c r="BIX23" s="225"/>
      <c r="BIY23" s="226"/>
      <c r="BIZ23" s="227"/>
      <c r="BJA23" s="228"/>
      <c r="BJB23" s="228"/>
      <c r="BJC23" s="228"/>
      <c r="BJD23" s="228"/>
      <c r="BJE23" s="228"/>
      <c r="BJF23" s="228"/>
      <c r="BJG23" s="226"/>
      <c r="BJH23" s="226"/>
      <c r="BJI23" s="224"/>
      <c r="BJJ23" s="225"/>
      <c r="BJK23" s="226"/>
      <c r="BJL23" s="227"/>
      <c r="BJM23" s="228"/>
      <c r="BJN23" s="228"/>
      <c r="BJO23" s="228"/>
      <c r="BJP23" s="228"/>
      <c r="BJQ23" s="228"/>
      <c r="BJR23" s="228"/>
      <c r="BJS23" s="226"/>
      <c r="BJT23" s="226"/>
      <c r="BJU23" s="224"/>
      <c r="BJV23" s="225"/>
      <c r="BJW23" s="226"/>
      <c r="BJX23" s="227"/>
      <c r="BJY23" s="228"/>
      <c r="BJZ23" s="228"/>
      <c r="BKA23" s="228"/>
      <c r="BKB23" s="228"/>
      <c r="BKC23" s="228"/>
      <c r="BKD23" s="228"/>
      <c r="BKE23" s="226"/>
      <c r="BKF23" s="226"/>
      <c r="BKG23" s="224"/>
      <c r="BKH23" s="225"/>
      <c r="BKI23" s="226"/>
      <c r="BKJ23" s="227"/>
      <c r="BKK23" s="228"/>
      <c r="BKL23" s="228"/>
      <c r="BKM23" s="228"/>
      <c r="BKN23" s="228"/>
      <c r="BKO23" s="228"/>
      <c r="BKP23" s="228"/>
      <c r="BKQ23" s="226"/>
      <c r="BKR23" s="226"/>
      <c r="BKS23" s="224"/>
      <c r="BKT23" s="225"/>
      <c r="BKU23" s="226"/>
      <c r="BKV23" s="227"/>
      <c r="BKW23" s="228"/>
      <c r="BKX23" s="228"/>
      <c r="BKY23" s="228"/>
      <c r="BKZ23" s="228"/>
      <c r="BLA23" s="228"/>
      <c r="BLB23" s="228"/>
      <c r="BLC23" s="226"/>
      <c r="BLD23" s="226"/>
      <c r="BLE23" s="224"/>
      <c r="BLF23" s="225"/>
      <c r="BLG23" s="226"/>
      <c r="BLH23" s="227"/>
      <c r="BLI23" s="228"/>
      <c r="BLJ23" s="228"/>
      <c r="BLK23" s="228"/>
      <c r="BLL23" s="228"/>
      <c r="BLM23" s="228"/>
      <c r="BLN23" s="228"/>
      <c r="BLO23" s="226"/>
      <c r="BLP23" s="226"/>
      <c r="BLQ23" s="224"/>
      <c r="BLR23" s="225"/>
      <c r="BLS23" s="226"/>
      <c r="BLT23" s="227"/>
      <c r="BLU23" s="228"/>
      <c r="BLV23" s="228"/>
      <c r="BLW23" s="228"/>
      <c r="BLX23" s="228"/>
      <c r="BLY23" s="228"/>
      <c r="BLZ23" s="228"/>
      <c r="BMA23" s="226"/>
      <c r="BMB23" s="226"/>
      <c r="BMC23" s="224"/>
      <c r="BMD23" s="225"/>
      <c r="BME23" s="226"/>
      <c r="BMF23" s="227"/>
      <c r="BMG23" s="228"/>
      <c r="BMH23" s="228"/>
      <c r="BMI23" s="228"/>
      <c r="BMJ23" s="228"/>
      <c r="BMK23" s="228"/>
      <c r="BML23" s="228"/>
      <c r="BMM23" s="226"/>
      <c r="BMN23" s="226"/>
      <c r="BMO23" s="224"/>
      <c r="BMP23" s="225"/>
      <c r="BMQ23" s="226"/>
      <c r="BMR23" s="227"/>
      <c r="BMS23" s="228"/>
      <c r="BMT23" s="228"/>
      <c r="BMU23" s="228"/>
      <c r="BMV23" s="228"/>
      <c r="BMW23" s="228"/>
      <c r="BMX23" s="228"/>
      <c r="BMY23" s="226"/>
      <c r="BMZ23" s="226"/>
      <c r="BNA23" s="224"/>
      <c r="BNB23" s="225"/>
      <c r="BNC23" s="226"/>
      <c r="BND23" s="227"/>
      <c r="BNE23" s="228"/>
      <c r="BNF23" s="228"/>
      <c r="BNG23" s="228"/>
      <c r="BNH23" s="228"/>
      <c r="BNI23" s="228"/>
      <c r="BNJ23" s="228"/>
      <c r="BNK23" s="226"/>
      <c r="BNL23" s="226"/>
      <c r="BNM23" s="224"/>
      <c r="BNN23" s="225"/>
      <c r="BNO23" s="226"/>
      <c r="BNP23" s="227"/>
      <c r="BNQ23" s="228"/>
      <c r="BNR23" s="228"/>
      <c r="BNS23" s="228"/>
      <c r="BNT23" s="228"/>
      <c r="BNU23" s="228"/>
      <c r="BNV23" s="228"/>
      <c r="BNW23" s="226"/>
      <c r="BNX23" s="226"/>
      <c r="BNY23" s="224"/>
      <c r="BNZ23" s="225"/>
      <c r="BOA23" s="226"/>
      <c r="BOB23" s="227"/>
      <c r="BOC23" s="228"/>
      <c r="BOD23" s="228"/>
      <c r="BOE23" s="228"/>
      <c r="BOF23" s="228"/>
      <c r="BOG23" s="228"/>
      <c r="BOH23" s="228"/>
      <c r="BOI23" s="226"/>
      <c r="BOJ23" s="226"/>
      <c r="BOK23" s="224"/>
      <c r="BOL23" s="225"/>
      <c r="BOM23" s="226"/>
      <c r="BON23" s="227"/>
      <c r="BOO23" s="228"/>
      <c r="BOP23" s="228"/>
      <c r="BOQ23" s="228"/>
      <c r="BOR23" s="228"/>
      <c r="BOS23" s="228"/>
      <c r="BOT23" s="228"/>
      <c r="BOU23" s="226"/>
      <c r="BOV23" s="226"/>
      <c r="BOW23" s="224"/>
      <c r="BOX23" s="225"/>
      <c r="BOY23" s="226"/>
      <c r="BOZ23" s="227"/>
      <c r="BPA23" s="228"/>
      <c r="BPB23" s="228"/>
      <c r="BPC23" s="228"/>
      <c r="BPD23" s="228"/>
      <c r="BPE23" s="228"/>
      <c r="BPF23" s="228"/>
      <c r="BPG23" s="226"/>
      <c r="BPH23" s="226"/>
      <c r="BPI23" s="224"/>
      <c r="BPJ23" s="225"/>
      <c r="BPK23" s="226"/>
      <c r="BPL23" s="227"/>
      <c r="BPM23" s="228"/>
      <c r="BPN23" s="228"/>
      <c r="BPO23" s="228"/>
      <c r="BPP23" s="228"/>
      <c r="BPQ23" s="228"/>
      <c r="BPR23" s="228"/>
      <c r="BPS23" s="226"/>
      <c r="BPT23" s="226"/>
      <c r="BPU23" s="224"/>
      <c r="BPV23" s="225"/>
      <c r="BPW23" s="226"/>
      <c r="BPX23" s="227"/>
      <c r="BPY23" s="228"/>
      <c r="BPZ23" s="228"/>
      <c r="BQA23" s="228"/>
      <c r="BQB23" s="228"/>
      <c r="BQC23" s="228"/>
      <c r="BQD23" s="228"/>
      <c r="BQE23" s="226"/>
      <c r="BQF23" s="226"/>
      <c r="BQG23" s="224"/>
      <c r="BQH23" s="225"/>
      <c r="BQI23" s="226"/>
      <c r="BQJ23" s="227"/>
      <c r="BQK23" s="228"/>
      <c r="BQL23" s="228"/>
      <c r="BQM23" s="228"/>
      <c r="BQN23" s="228"/>
      <c r="BQO23" s="228"/>
      <c r="BQP23" s="228"/>
      <c r="BQQ23" s="226"/>
      <c r="BQR23" s="226"/>
      <c r="BQS23" s="224"/>
      <c r="BQT23" s="225"/>
      <c r="BQU23" s="226"/>
      <c r="BQV23" s="227"/>
      <c r="BQW23" s="228"/>
      <c r="BQX23" s="228"/>
      <c r="BQY23" s="228"/>
      <c r="BQZ23" s="228"/>
      <c r="BRA23" s="228"/>
      <c r="BRB23" s="228"/>
      <c r="BRC23" s="226"/>
      <c r="BRD23" s="226"/>
      <c r="BRE23" s="224"/>
      <c r="BRF23" s="225"/>
      <c r="BRG23" s="226"/>
      <c r="BRH23" s="227"/>
      <c r="BRI23" s="228"/>
      <c r="BRJ23" s="228"/>
      <c r="BRK23" s="228"/>
      <c r="BRL23" s="228"/>
      <c r="BRM23" s="228"/>
      <c r="BRN23" s="228"/>
      <c r="BRO23" s="226"/>
      <c r="BRP23" s="226"/>
      <c r="BRQ23" s="224"/>
      <c r="BRR23" s="225"/>
      <c r="BRS23" s="226"/>
      <c r="BRT23" s="227"/>
      <c r="BRU23" s="228"/>
      <c r="BRV23" s="228"/>
      <c r="BRW23" s="228"/>
      <c r="BRX23" s="228"/>
      <c r="BRY23" s="228"/>
      <c r="BRZ23" s="228"/>
      <c r="BSA23" s="226"/>
      <c r="BSB23" s="226"/>
      <c r="BSC23" s="224"/>
      <c r="BSD23" s="225"/>
      <c r="BSE23" s="226"/>
      <c r="BSF23" s="227"/>
      <c r="BSG23" s="228"/>
      <c r="BSH23" s="228"/>
      <c r="BSI23" s="228"/>
      <c r="BSJ23" s="228"/>
      <c r="BSK23" s="228"/>
      <c r="BSL23" s="228"/>
      <c r="BSM23" s="226"/>
      <c r="BSN23" s="226"/>
      <c r="BSO23" s="224"/>
      <c r="BSP23" s="225"/>
      <c r="BSQ23" s="226"/>
      <c r="BSR23" s="227"/>
      <c r="BSS23" s="228"/>
      <c r="BST23" s="228"/>
      <c r="BSU23" s="228"/>
      <c r="BSV23" s="228"/>
      <c r="BSW23" s="228"/>
      <c r="BSX23" s="228"/>
      <c r="BSY23" s="226"/>
      <c r="BSZ23" s="226"/>
      <c r="BTA23" s="224"/>
      <c r="BTB23" s="225"/>
      <c r="BTC23" s="226"/>
      <c r="BTD23" s="227"/>
      <c r="BTE23" s="228"/>
      <c r="BTF23" s="228"/>
      <c r="BTG23" s="228"/>
      <c r="BTH23" s="228"/>
      <c r="BTI23" s="228"/>
      <c r="BTJ23" s="228"/>
      <c r="BTK23" s="226"/>
      <c r="BTL23" s="226"/>
      <c r="BTM23" s="224"/>
      <c r="BTN23" s="225"/>
      <c r="BTO23" s="226"/>
      <c r="BTP23" s="227"/>
      <c r="BTQ23" s="228"/>
      <c r="BTR23" s="228"/>
      <c r="BTS23" s="228"/>
      <c r="BTT23" s="228"/>
      <c r="BTU23" s="228"/>
      <c r="BTV23" s="228"/>
      <c r="BTW23" s="226"/>
      <c r="BTX23" s="226"/>
      <c r="BTY23" s="224"/>
      <c r="BTZ23" s="225"/>
      <c r="BUA23" s="226"/>
      <c r="BUB23" s="227"/>
      <c r="BUC23" s="228"/>
      <c r="BUD23" s="228"/>
      <c r="BUE23" s="228"/>
      <c r="BUF23" s="228"/>
      <c r="BUG23" s="228"/>
      <c r="BUH23" s="228"/>
      <c r="BUI23" s="226"/>
      <c r="BUJ23" s="226"/>
      <c r="BUK23" s="224"/>
      <c r="BUL23" s="225"/>
      <c r="BUM23" s="226"/>
      <c r="BUN23" s="227"/>
      <c r="BUO23" s="228"/>
      <c r="BUP23" s="228"/>
      <c r="BUQ23" s="228"/>
      <c r="BUR23" s="228"/>
      <c r="BUS23" s="228"/>
      <c r="BUT23" s="228"/>
      <c r="BUU23" s="226"/>
      <c r="BUV23" s="226"/>
      <c r="BUW23" s="224"/>
      <c r="BUX23" s="225"/>
      <c r="BUY23" s="226"/>
      <c r="BUZ23" s="227"/>
      <c r="BVA23" s="228"/>
      <c r="BVB23" s="228"/>
      <c r="BVC23" s="228"/>
      <c r="BVD23" s="228"/>
      <c r="BVE23" s="228"/>
      <c r="BVF23" s="228"/>
      <c r="BVG23" s="226"/>
      <c r="BVH23" s="226"/>
      <c r="BVI23" s="224"/>
      <c r="BVJ23" s="225"/>
      <c r="BVK23" s="226"/>
      <c r="BVL23" s="227"/>
      <c r="BVM23" s="228"/>
      <c r="BVN23" s="228"/>
      <c r="BVO23" s="228"/>
      <c r="BVP23" s="228"/>
      <c r="BVQ23" s="228"/>
      <c r="BVR23" s="228"/>
      <c r="BVS23" s="226"/>
      <c r="BVT23" s="226"/>
      <c r="BVU23" s="224"/>
      <c r="BVV23" s="225"/>
      <c r="BVW23" s="226"/>
      <c r="BVX23" s="227"/>
      <c r="BVY23" s="228"/>
      <c r="BVZ23" s="228"/>
      <c r="BWA23" s="228"/>
      <c r="BWB23" s="228"/>
      <c r="BWC23" s="228"/>
      <c r="BWD23" s="228"/>
      <c r="BWE23" s="226"/>
      <c r="BWF23" s="226"/>
      <c r="BWG23" s="224"/>
      <c r="BWH23" s="225"/>
      <c r="BWI23" s="226"/>
      <c r="BWJ23" s="227"/>
      <c r="BWK23" s="228"/>
      <c r="BWL23" s="228"/>
      <c r="BWM23" s="228"/>
      <c r="BWN23" s="228"/>
      <c r="BWO23" s="228"/>
      <c r="BWP23" s="228"/>
      <c r="BWQ23" s="226"/>
      <c r="BWR23" s="226"/>
      <c r="BWS23" s="224"/>
      <c r="BWT23" s="225"/>
      <c r="BWU23" s="226"/>
      <c r="BWV23" s="227"/>
      <c r="BWW23" s="228"/>
      <c r="BWX23" s="228"/>
      <c r="BWY23" s="228"/>
      <c r="BWZ23" s="228"/>
      <c r="BXA23" s="228"/>
      <c r="BXB23" s="228"/>
      <c r="BXC23" s="226"/>
      <c r="BXD23" s="226"/>
      <c r="BXE23" s="224"/>
      <c r="BXF23" s="225"/>
      <c r="BXG23" s="226"/>
      <c r="BXH23" s="227"/>
      <c r="BXI23" s="228"/>
      <c r="BXJ23" s="228"/>
      <c r="BXK23" s="228"/>
      <c r="BXL23" s="228"/>
      <c r="BXM23" s="228"/>
      <c r="BXN23" s="228"/>
      <c r="BXO23" s="226"/>
      <c r="BXP23" s="226"/>
      <c r="BXQ23" s="224"/>
      <c r="BXR23" s="225"/>
      <c r="BXS23" s="226"/>
      <c r="BXT23" s="227"/>
      <c r="BXU23" s="228"/>
      <c r="BXV23" s="228"/>
      <c r="BXW23" s="228"/>
      <c r="BXX23" s="228"/>
      <c r="BXY23" s="228"/>
      <c r="BXZ23" s="228"/>
      <c r="BYA23" s="226"/>
      <c r="BYB23" s="226"/>
      <c r="BYC23" s="224"/>
      <c r="BYD23" s="225"/>
      <c r="BYE23" s="226"/>
      <c r="BYF23" s="227"/>
      <c r="BYG23" s="228"/>
      <c r="BYH23" s="228"/>
      <c r="BYI23" s="228"/>
      <c r="BYJ23" s="228"/>
      <c r="BYK23" s="228"/>
      <c r="BYL23" s="228"/>
      <c r="BYM23" s="226"/>
      <c r="BYN23" s="226"/>
      <c r="BYO23" s="224"/>
      <c r="BYP23" s="225"/>
      <c r="BYQ23" s="226"/>
      <c r="BYR23" s="227"/>
      <c r="BYS23" s="228"/>
      <c r="BYT23" s="228"/>
      <c r="BYU23" s="228"/>
      <c r="BYV23" s="228"/>
      <c r="BYW23" s="228"/>
      <c r="BYX23" s="228"/>
      <c r="BYY23" s="226"/>
      <c r="BYZ23" s="226"/>
      <c r="BZA23" s="224"/>
      <c r="BZB23" s="225"/>
      <c r="BZC23" s="226"/>
      <c r="BZD23" s="227"/>
      <c r="BZE23" s="228"/>
      <c r="BZF23" s="228"/>
      <c r="BZG23" s="228"/>
      <c r="BZH23" s="228"/>
      <c r="BZI23" s="228"/>
      <c r="BZJ23" s="228"/>
      <c r="BZK23" s="226"/>
      <c r="BZL23" s="226"/>
      <c r="BZM23" s="224"/>
      <c r="BZN23" s="225"/>
      <c r="BZO23" s="226"/>
      <c r="BZP23" s="227"/>
      <c r="BZQ23" s="228"/>
      <c r="BZR23" s="228"/>
      <c r="BZS23" s="228"/>
      <c r="BZT23" s="228"/>
      <c r="BZU23" s="228"/>
      <c r="BZV23" s="228"/>
      <c r="BZW23" s="226"/>
      <c r="BZX23" s="226"/>
      <c r="BZY23" s="224"/>
      <c r="BZZ23" s="225"/>
      <c r="CAA23" s="226"/>
      <c r="CAB23" s="227"/>
      <c r="CAC23" s="228"/>
      <c r="CAD23" s="228"/>
      <c r="CAE23" s="228"/>
      <c r="CAF23" s="228"/>
      <c r="CAG23" s="228"/>
      <c r="CAH23" s="228"/>
      <c r="CAI23" s="226"/>
      <c r="CAJ23" s="226"/>
      <c r="CAK23" s="224"/>
      <c r="CAL23" s="225"/>
      <c r="CAM23" s="226"/>
      <c r="CAN23" s="227"/>
      <c r="CAO23" s="228"/>
      <c r="CAP23" s="228"/>
      <c r="CAQ23" s="228"/>
      <c r="CAR23" s="228"/>
      <c r="CAS23" s="228"/>
      <c r="CAT23" s="228"/>
      <c r="CAU23" s="226"/>
      <c r="CAV23" s="226"/>
      <c r="CAW23" s="224"/>
      <c r="CAX23" s="225"/>
      <c r="CAY23" s="226"/>
      <c r="CAZ23" s="227"/>
      <c r="CBA23" s="228"/>
      <c r="CBB23" s="228"/>
      <c r="CBC23" s="228"/>
      <c r="CBD23" s="228"/>
      <c r="CBE23" s="228"/>
      <c r="CBF23" s="228"/>
      <c r="CBG23" s="226"/>
      <c r="CBH23" s="226"/>
      <c r="CBI23" s="224"/>
      <c r="CBJ23" s="225"/>
      <c r="CBK23" s="226"/>
      <c r="CBL23" s="227"/>
      <c r="CBM23" s="228"/>
      <c r="CBN23" s="228"/>
      <c r="CBO23" s="228"/>
      <c r="CBP23" s="228"/>
      <c r="CBQ23" s="228"/>
      <c r="CBR23" s="228"/>
      <c r="CBS23" s="226"/>
      <c r="CBT23" s="226"/>
      <c r="CBU23" s="224"/>
      <c r="CBV23" s="225"/>
      <c r="CBW23" s="226"/>
      <c r="CBX23" s="227"/>
      <c r="CBY23" s="228"/>
      <c r="CBZ23" s="228"/>
      <c r="CCA23" s="228"/>
      <c r="CCB23" s="228"/>
      <c r="CCC23" s="228"/>
      <c r="CCD23" s="228"/>
      <c r="CCE23" s="226"/>
      <c r="CCF23" s="226"/>
      <c r="CCG23" s="224"/>
      <c r="CCH23" s="225"/>
      <c r="CCI23" s="226"/>
      <c r="CCJ23" s="227"/>
      <c r="CCK23" s="228"/>
      <c r="CCL23" s="228"/>
      <c r="CCM23" s="228"/>
      <c r="CCN23" s="228"/>
      <c r="CCO23" s="228"/>
      <c r="CCP23" s="228"/>
      <c r="CCQ23" s="226"/>
      <c r="CCR23" s="226"/>
      <c r="CCS23" s="224"/>
      <c r="CCT23" s="225"/>
      <c r="CCU23" s="226"/>
      <c r="CCV23" s="227"/>
      <c r="CCW23" s="228"/>
      <c r="CCX23" s="228"/>
      <c r="CCY23" s="228"/>
      <c r="CCZ23" s="228"/>
      <c r="CDA23" s="228"/>
      <c r="CDB23" s="228"/>
      <c r="CDC23" s="226"/>
      <c r="CDD23" s="226"/>
      <c r="CDE23" s="224"/>
      <c r="CDF23" s="225"/>
      <c r="CDG23" s="226"/>
      <c r="CDH23" s="227"/>
      <c r="CDI23" s="228"/>
      <c r="CDJ23" s="228"/>
      <c r="CDK23" s="228"/>
      <c r="CDL23" s="228"/>
      <c r="CDM23" s="228"/>
      <c r="CDN23" s="228"/>
      <c r="CDO23" s="226"/>
      <c r="CDP23" s="226"/>
      <c r="CDQ23" s="224"/>
      <c r="CDR23" s="225"/>
      <c r="CDS23" s="226"/>
      <c r="CDT23" s="227"/>
      <c r="CDU23" s="228"/>
      <c r="CDV23" s="228"/>
      <c r="CDW23" s="228"/>
      <c r="CDX23" s="228"/>
      <c r="CDY23" s="228"/>
      <c r="CDZ23" s="228"/>
      <c r="CEA23" s="226"/>
      <c r="CEB23" s="226"/>
      <c r="CEC23" s="224"/>
      <c r="CED23" s="225"/>
      <c r="CEE23" s="226"/>
      <c r="CEF23" s="227"/>
      <c r="CEG23" s="228"/>
      <c r="CEH23" s="228"/>
      <c r="CEI23" s="228"/>
      <c r="CEJ23" s="228"/>
      <c r="CEK23" s="228"/>
      <c r="CEL23" s="228"/>
      <c r="CEM23" s="226"/>
      <c r="CEN23" s="226"/>
      <c r="CEO23" s="224"/>
      <c r="CEP23" s="225"/>
      <c r="CEQ23" s="226"/>
      <c r="CER23" s="227"/>
      <c r="CES23" s="228"/>
      <c r="CET23" s="228"/>
      <c r="CEU23" s="228"/>
      <c r="CEV23" s="228"/>
      <c r="CEW23" s="228"/>
      <c r="CEX23" s="228"/>
      <c r="CEY23" s="226"/>
      <c r="CEZ23" s="226"/>
      <c r="CFA23" s="224"/>
      <c r="CFB23" s="225"/>
      <c r="CFC23" s="226"/>
      <c r="CFD23" s="227"/>
      <c r="CFE23" s="228"/>
      <c r="CFF23" s="228"/>
      <c r="CFG23" s="228"/>
      <c r="CFH23" s="228"/>
      <c r="CFI23" s="228"/>
      <c r="CFJ23" s="228"/>
      <c r="CFK23" s="226"/>
      <c r="CFL23" s="226"/>
      <c r="CFM23" s="224"/>
      <c r="CFN23" s="225"/>
      <c r="CFO23" s="226"/>
      <c r="CFP23" s="227"/>
      <c r="CFQ23" s="228"/>
      <c r="CFR23" s="228"/>
      <c r="CFS23" s="228"/>
      <c r="CFT23" s="228"/>
      <c r="CFU23" s="228"/>
      <c r="CFV23" s="228"/>
      <c r="CFW23" s="226"/>
      <c r="CFX23" s="226"/>
      <c r="CFY23" s="224"/>
      <c r="CFZ23" s="225"/>
      <c r="CGA23" s="226"/>
      <c r="CGB23" s="227"/>
      <c r="CGC23" s="228"/>
      <c r="CGD23" s="228"/>
      <c r="CGE23" s="228"/>
      <c r="CGF23" s="228"/>
      <c r="CGG23" s="228"/>
      <c r="CGH23" s="228"/>
      <c r="CGI23" s="226"/>
      <c r="CGJ23" s="226"/>
      <c r="CGK23" s="224"/>
      <c r="CGL23" s="225"/>
      <c r="CGM23" s="226"/>
      <c r="CGN23" s="227"/>
      <c r="CGO23" s="228"/>
      <c r="CGP23" s="228"/>
      <c r="CGQ23" s="228"/>
      <c r="CGR23" s="228"/>
      <c r="CGS23" s="228"/>
      <c r="CGT23" s="228"/>
      <c r="CGU23" s="226"/>
      <c r="CGV23" s="226"/>
      <c r="CGW23" s="224"/>
      <c r="CGX23" s="225"/>
      <c r="CGY23" s="226"/>
      <c r="CGZ23" s="227"/>
      <c r="CHA23" s="228"/>
      <c r="CHB23" s="228"/>
      <c r="CHC23" s="228"/>
      <c r="CHD23" s="228"/>
      <c r="CHE23" s="228"/>
      <c r="CHF23" s="228"/>
      <c r="CHG23" s="226"/>
      <c r="CHH23" s="226"/>
      <c r="CHI23" s="224"/>
      <c r="CHJ23" s="225"/>
      <c r="CHK23" s="226"/>
      <c r="CHL23" s="227"/>
      <c r="CHM23" s="228"/>
      <c r="CHN23" s="228"/>
      <c r="CHO23" s="228"/>
      <c r="CHP23" s="228"/>
      <c r="CHQ23" s="228"/>
      <c r="CHR23" s="228"/>
      <c r="CHS23" s="226"/>
      <c r="CHT23" s="226"/>
      <c r="CHU23" s="224"/>
      <c r="CHV23" s="225"/>
      <c r="CHW23" s="226"/>
      <c r="CHX23" s="227"/>
      <c r="CHY23" s="228"/>
      <c r="CHZ23" s="228"/>
      <c r="CIA23" s="228"/>
      <c r="CIB23" s="228"/>
      <c r="CIC23" s="228"/>
      <c r="CID23" s="228"/>
      <c r="CIE23" s="226"/>
      <c r="CIF23" s="226"/>
      <c r="CIG23" s="224"/>
      <c r="CIH23" s="225"/>
      <c r="CII23" s="226"/>
      <c r="CIJ23" s="227"/>
      <c r="CIK23" s="228"/>
      <c r="CIL23" s="228"/>
      <c r="CIM23" s="228"/>
      <c r="CIN23" s="228"/>
      <c r="CIO23" s="228"/>
      <c r="CIP23" s="228"/>
      <c r="CIQ23" s="226"/>
      <c r="CIR23" s="226"/>
      <c r="CIS23" s="224"/>
      <c r="CIT23" s="225"/>
      <c r="CIU23" s="226"/>
      <c r="CIV23" s="227"/>
      <c r="CIW23" s="228"/>
      <c r="CIX23" s="228"/>
      <c r="CIY23" s="228"/>
      <c r="CIZ23" s="228"/>
      <c r="CJA23" s="228"/>
      <c r="CJB23" s="228"/>
      <c r="CJC23" s="226"/>
      <c r="CJD23" s="226"/>
      <c r="CJE23" s="224"/>
      <c r="CJF23" s="225"/>
      <c r="CJG23" s="226"/>
      <c r="CJH23" s="227"/>
      <c r="CJI23" s="228"/>
      <c r="CJJ23" s="228"/>
      <c r="CJK23" s="228"/>
      <c r="CJL23" s="228"/>
      <c r="CJM23" s="228"/>
      <c r="CJN23" s="228"/>
      <c r="CJO23" s="226"/>
      <c r="CJP23" s="226"/>
      <c r="CJQ23" s="224"/>
      <c r="CJR23" s="225"/>
      <c r="CJS23" s="226"/>
      <c r="CJT23" s="227"/>
      <c r="CJU23" s="228"/>
      <c r="CJV23" s="228"/>
      <c r="CJW23" s="228"/>
      <c r="CJX23" s="228"/>
      <c r="CJY23" s="228"/>
      <c r="CJZ23" s="228"/>
      <c r="CKA23" s="226"/>
      <c r="CKB23" s="226"/>
      <c r="CKC23" s="224"/>
      <c r="CKD23" s="225"/>
      <c r="CKE23" s="226"/>
      <c r="CKF23" s="227"/>
      <c r="CKG23" s="228"/>
      <c r="CKH23" s="228"/>
      <c r="CKI23" s="228"/>
      <c r="CKJ23" s="228"/>
      <c r="CKK23" s="228"/>
      <c r="CKL23" s="228"/>
      <c r="CKM23" s="226"/>
      <c r="CKN23" s="226"/>
      <c r="CKO23" s="224"/>
      <c r="CKP23" s="225"/>
      <c r="CKQ23" s="226"/>
      <c r="CKR23" s="227"/>
      <c r="CKS23" s="228"/>
      <c r="CKT23" s="228"/>
      <c r="CKU23" s="228"/>
      <c r="CKV23" s="228"/>
      <c r="CKW23" s="228"/>
      <c r="CKX23" s="228"/>
      <c r="CKY23" s="226"/>
      <c r="CKZ23" s="226"/>
      <c r="CLA23" s="224"/>
      <c r="CLB23" s="225"/>
      <c r="CLC23" s="226"/>
      <c r="CLD23" s="227"/>
      <c r="CLE23" s="228"/>
      <c r="CLF23" s="228"/>
      <c r="CLG23" s="228"/>
      <c r="CLH23" s="228"/>
      <c r="CLI23" s="228"/>
      <c r="CLJ23" s="228"/>
      <c r="CLK23" s="226"/>
      <c r="CLL23" s="226"/>
      <c r="CLM23" s="224"/>
      <c r="CLN23" s="225"/>
      <c r="CLO23" s="226"/>
      <c r="CLP23" s="227"/>
      <c r="CLQ23" s="228"/>
      <c r="CLR23" s="228"/>
      <c r="CLS23" s="228"/>
      <c r="CLT23" s="228"/>
      <c r="CLU23" s="228"/>
      <c r="CLV23" s="228"/>
      <c r="CLW23" s="226"/>
      <c r="CLX23" s="226"/>
      <c r="CLY23" s="224"/>
      <c r="CLZ23" s="225"/>
      <c r="CMA23" s="226"/>
      <c r="CMB23" s="227"/>
      <c r="CMC23" s="228"/>
      <c r="CMD23" s="228"/>
      <c r="CME23" s="228"/>
      <c r="CMF23" s="228"/>
      <c r="CMG23" s="228"/>
      <c r="CMH23" s="228"/>
      <c r="CMI23" s="226"/>
      <c r="CMJ23" s="226"/>
      <c r="CMK23" s="224"/>
      <c r="CML23" s="225"/>
      <c r="CMM23" s="226"/>
      <c r="CMN23" s="227"/>
      <c r="CMO23" s="228"/>
      <c r="CMP23" s="228"/>
      <c r="CMQ23" s="228"/>
      <c r="CMR23" s="228"/>
      <c r="CMS23" s="228"/>
      <c r="CMT23" s="228"/>
      <c r="CMU23" s="226"/>
      <c r="CMV23" s="226"/>
      <c r="CMW23" s="224"/>
      <c r="CMX23" s="225"/>
      <c r="CMY23" s="226"/>
      <c r="CMZ23" s="227"/>
      <c r="CNA23" s="228"/>
      <c r="CNB23" s="228"/>
      <c r="CNC23" s="228"/>
      <c r="CND23" s="228"/>
      <c r="CNE23" s="228"/>
      <c r="CNF23" s="228"/>
      <c r="CNG23" s="226"/>
      <c r="CNH23" s="226"/>
      <c r="CNI23" s="224"/>
      <c r="CNJ23" s="225"/>
      <c r="CNK23" s="226"/>
      <c r="CNL23" s="227"/>
      <c r="CNM23" s="228"/>
      <c r="CNN23" s="228"/>
      <c r="CNO23" s="228"/>
      <c r="CNP23" s="228"/>
      <c r="CNQ23" s="228"/>
      <c r="CNR23" s="228"/>
      <c r="CNS23" s="226"/>
      <c r="CNT23" s="226"/>
      <c r="CNU23" s="224"/>
      <c r="CNV23" s="225"/>
      <c r="CNW23" s="226"/>
      <c r="CNX23" s="227"/>
      <c r="CNY23" s="228"/>
      <c r="CNZ23" s="228"/>
      <c r="COA23" s="228"/>
      <c r="COB23" s="228"/>
      <c r="COC23" s="228"/>
      <c r="COD23" s="228"/>
      <c r="COE23" s="226"/>
      <c r="COF23" s="226"/>
      <c r="COG23" s="224"/>
      <c r="COH23" s="225"/>
      <c r="COI23" s="226"/>
      <c r="COJ23" s="227"/>
      <c r="COK23" s="228"/>
      <c r="COL23" s="228"/>
      <c r="COM23" s="228"/>
      <c r="CON23" s="228"/>
      <c r="COO23" s="228"/>
      <c r="COP23" s="228"/>
      <c r="COQ23" s="226"/>
      <c r="COR23" s="226"/>
      <c r="COS23" s="224"/>
      <c r="COT23" s="225"/>
      <c r="COU23" s="226"/>
      <c r="COV23" s="227"/>
      <c r="COW23" s="228"/>
      <c r="COX23" s="228"/>
      <c r="COY23" s="228"/>
      <c r="COZ23" s="228"/>
      <c r="CPA23" s="228"/>
      <c r="CPB23" s="228"/>
      <c r="CPC23" s="226"/>
      <c r="CPD23" s="226"/>
      <c r="CPE23" s="224"/>
      <c r="CPF23" s="225"/>
      <c r="CPG23" s="226"/>
      <c r="CPH23" s="227"/>
      <c r="CPI23" s="228"/>
      <c r="CPJ23" s="228"/>
      <c r="CPK23" s="228"/>
      <c r="CPL23" s="228"/>
      <c r="CPM23" s="228"/>
      <c r="CPN23" s="228"/>
      <c r="CPO23" s="226"/>
      <c r="CPP23" s="226"/>
      <c r="CPQ23" s="224"/>
      <c r="CPR23" s="225"/>
      <c r="CPS23" s="226"/>
      <c r="CPT23" s="227"/>
      <c r="CPU23" s="228"/>
      <c r="CPV23" s="228"/>
      <c r="CPW23" s="228"/>
      <c r="CPX23" s="228"/>
      <c r="CPY23" s="228"/>
      <c r="CPZ23" s="228"/>
      <c r="CQA23" s="226"/>
      <c r="CQB23" s="226"/>
      <c r="CQC23" s="224"/>
      <c r="CQD23" s="225"/>
      <c r="CQE23" s="226"/>
      <c r="CQF23" s="227"/>
      <c r="CQG23" s="228"/>
      <c r="CQH23" s="228"/>
      <c r="CQI23" s="228"/>
      <c r="CQJ23" s="228"/>
      <c r="CQK23" s="228"/>
      <c r="CQL23" s="228"/>
      <c r="CQM23" s="226"/>
      <c r="CQN23" s="226"/>
      <c r="CQO23" s="224"/>
      <c r="CQP23" s="225"/>
      <c r="CQQ23" s="226"/>
      <c r="CQR23" s="227"/>
      <c r="CQS23" s="228"/>
      <c r="CQT23" s="228"/>
      <c r="CQU23" s="228"/>
      <c r="CQV23" s="228"/>
      <c r="CQW23" s="228"/>
      <c r="CQX23" s="228"/>
      <c r="CQY23" s="226"/>
      <c r="CQZ23" s="226"/>
      <c r="CRA23" s="224"/>
      <c r="CRB23" s="225"/>
      <c r="CRC23" s="226"/>
      <c r="CRD23" s="227"/>
      <c r="CRE23" s="228"/>
      <c r="CRF23" s="228"/>
      <c r="CRG23" s="228"/>
      <c r="CRH23" s="228"/>
      <c r="CRI23" s="228"/>
      <c r="CRJ23" s="228"/>
      <c r="CRK23" s="226"/>
      <c r="CRL23" s="226"/>
      <c r="CRM23" s="224"/>
      <c r="CRN23" s="225"/>
      <c r="CRO23" s="226"/>
      <c r="CRP23" s="227"/>
      <c r="CRQ23" s="228"/>
      <c r="CRR23" s="228"/>
      <c r="CRS23" s="228"/>
      <c r="CRT23" s="228"/>
      <c r="CRU23" s="228"/>
      <c r="CRV23" s="228"/>
      <c r="CRW23" s="226"/>
      <c r="CRX23" s="226"/>
      <c r="CRY23" s="224"/>
      <c r="CRZ23" s="225"/>
      <c r="CSA23" s="226"/>
      <c r="CSB23" s="227"/>
      <c r="CSC23" s="228"/>
      <c r="CSD23" s="228"/>
      <c r="CSE23" s="228"/>
      <c r="CSF23" s="228"/>
      <c r="CSG23" s="228"/>
      <c r="CSH23" s="228"/>
      <c r="CSI23" s="226"/>
      <c r="CSJ23" s="226"/>
      <c r="CSK23" s="224"/>
      <c r="CSL23" s="225"/>
      <c r="CSM23" s="226"/>
      <c r="CSN23" s="227"/>
      <c r="CSO23" s="228"/>
      <c r="CSP23" s="228"/>
      <c r="CSQ23" s="228"/>
      <c r="CSR23" s="228"/>
      <c r="CSS23" s="228"/>
      <c r="CST23" s="228"/>
      <c r="CSU23" s="226"/>
      <c r="CSV23" s="226"/>
      <c r="CSW23" s="224"/>
      <c r="CSX23" s="225"/>
      <c r="CSY23" s="226"/>
      <c r="CSZ23" s="227"/>
      <c r="CTA23" s="228"/>
      <c r="CTB23" s="228"/>
      <c r="CTC23" s="228"/>
      <c r="CTD23" s="228"/>
      <c r="CTE23" s="228"/>
      <c r="CTF23" s="228"/>
      <c r="CTG23" s="226"/>
      <c r="CTH23" s="226"/>
      <c r="CTI23" s="224"/>
      <c r="CTJ23" s="225"/>
      <c r="CTK23" s="226"/>
      <c r="CTL23" s="227"/>
      <c r="CTM23" s="228"/>
      <c r="CTN23" s="228"/>
      <c r="CTO23" s="228"/>
      <c r="CTP23" s="228"/>
      <c r="CTQ23" s="228"/>
      <c r="CTR23" s="228"/>
      <c r="CTS23" s="226"/>
      <c r="CTT23" s="226"/>
      <c r="CTU23" s="224"/>
      <c r="CTV23" s="225"/>
      <c r="CTW23" s="226"/>
      <c r="CTX23" s="227"/>
      <c r="CTY23" s="228"/>
      <c r="CTZ23" s="228"/>
      <c r="CUA23" s="228"/>
      <c r="CUB23" s="228"/>
      <c r="CUC23" s="228"/>
      <c r="CUD23" s="228"/>
      <c r="CUE23" s="226"/>
      <c r="CUF23" s="226"/>
      <c r="CUG23" s="224"/>
      <c r="CUH23" s="225"/>
      <c r="CUI23" s="226"/>
      <c r="CUJ23" s="227"/>
      <c r="CUK23" s="228"/>
      <c r="CUL23" s="228"/>
      <c r="CUM23" s="228"/>
      <c r="CUN23" s="228"/>
      <c r="CUO23" s="228"/>
      <c r="CUP23" s="228"/>
      <c r="CUQ23" s="226"/>
      <c r="CUR23" s="226"/>
      <c r="CUS23" s="224"/>
      <c r="CUT23" s="225"/>
      <c r="CUU23" s="226"/>
      <c r="CUV23" s="227"/>
      <c r="CUW23" s="228"/>
      <c r="CUX23" s="228"/>
      <c r="CUY23" s="228"/>
      <c r="CUZ23" s="228"/>
      <c r="CVA23" s="228"/>
      <c r="CVB23" s="228"/>
      <c r="CVC23" s="226"/>
      <c r="CVD23" s="226"/>
      <c r="CVE23" s="224"/>
      <c r="CVF23" s="225"/>
      <c r="CVG23" s="226"/>
      <c r="CVH23" s="227"/>
      <c r="CVI23" s="228"/>
      <c r="CVJ23" s="228"/>
      <c r="CVK23" s="228"/>
      <c r="CVL23" s="228"/>
      <c r="CVM23" s="228"/>
      <c r="CVN23" s="228"/>
      <c r="CVO23" s="226"/>
      <c r="CVP23" s="226"/>
      <c r="CVQ23" s="224"/>
      <c r="CVR23" s="225"/>
      <c r="CVS23" s="226"/>
      <c r="CVT23" s="227"/>
      <c r="CVU23" s="228"/>
      <c r="CVV23" s="228"/>
      <c r="CVW23" s="228"/>
      <c r="CVX23" s="228"/>
      <c r="CVY23" s="228"/>
      <c r="CVZ23" s="228"/>
      <c r="CWA23" s="226"/>
      <c r="CWB23" s="226"/>
      <c r="CWC23" s="224"/>
      <c r="CWD23" s="225"/>
      <c r="CWE23" s="226"/>
      <c r="CWF23" s="227"/>
      <c r="CWG23" s="228"/>
      <c r="CWH23" s="228"/>
      <c r="CWI23" s="228"/>
      <c r="CWJ23" s="228"/>
      <c r="CWK23" s="228"/>
      <c r="CWL23" s="228"/>
      <c r="CWM23" s="226"/>
      <c r="CWN23" s="226"/>
      <c r="CWO23" s="224"/>
      <c r="CWP23" s="225"/>
      <c r="CWQ23" s="226"/>
      <c r="CWR23" s="227"/>
      <c r="CWS23" s="228"/>
      <c r="CWT23" s="228"/>
      <c r="CWU23" s="228"/>
      <c r="CWV23" s="228"/>
      <c r="CWW23" s="228"/>
      <c r="CWX23" s="228"/>
      <c r="CWY23" s="226"/>
      <c r="CWZ23" s="226"/>
      <c r="CXA23" s="224"/>
      <c r="CXB23" s="225"/>
      <c r="CXC23" s="226"/>
      <c r="CXD23" s="227"/>
      <c r="CXE23" s="228"/>
      <c r="CXF23" s="228"/>
      <c r="CXG23" s="228"/>
      <c r="CXH23" s="228"/>
      <c r="CXI23" s="228"/>
      <c r="CXJ23" s="228"/>
      <c r="CXK23" s="226"/>
      <c r="CXL23" s="226"/>
      <c r="CXM23" s="224"/>
      <c r="CXN23" s="225"/>
      <c r="CXO23" s="226"/>
      <c r="CXP23" s="227"/>
      <c r="CXQ23" s="228"/>
      <c r="CXR23" s="228"/>
      <c r="CXS23" s="228"/>
      <c r="CXT23" s="228"/>
      <c r="CXU23" s="228"/>
      <c r="CXV23" s="228"/>
      <c r="CXW23" s="226"/>
      <c r="CXX23" s="226"/>
      <c r="CXY23" s="224"/>
      <c r="CXZ23" s="225"/>
      <c r="CYA23" s="226"/>
      <c r="CYB23" s="227"/>
      <c r="CYC23" s="228"/>
      <c r="CYD23" s="228"/>
      <c r="CYE23" s="228"/>
      <c r="CYF23" s="228"/>
      <c r="CYG23" s="228"/>
      <c r="CYH23" s="228"/>
      <c r="CYI23" s="226"/>
      <c r="CYJ23" s="226"/>
      <c r="CYK23" s="224"/>
      <c r="CYL23" s="225"/>
      <c r="CYM23" s="226"/>
      <c r="CYN23" s="227"/>
      <c r="CYO23" s="228"/>
      <c r="CYP23" s="228"/>
      <c r="CYQ23" s="228"/>
      <c r="CYR23" s="228"/>
      <c r="CYS23" s="228"/>
      <c r="CYT23" s="228"/>
      <c r="CYU23" s="226"/>
      <c r="CYV23" s="226"/>
      <c r="CYW23" s="224"/>
      <c r="CYX23" s="225"/>
      <c r="CYY23" s="226"/>
      <c r="CYZ23" s="227"/>
      <c r="CZA23" s="228"/>
      <c r="CZB23" s="228"/>
      <c r="CZC23" s="228"/>
      <c r="CZD23" s="228"/>
      <c r="CZE23" s="228"/>
      <c r="CZF23" s="228"/>
      <c r="CZG23" s="226"/>
      <c r="CZH23" s="226"/>
      <c r="CZI23" s="224"/>
      <c r="CZJ23" s="225"/>
      <c r="CZK23" s="226"/>
      <c r="CZL23" s="227"/>
      <c r="CZM23" s="228"/>
      <c r="CZN23" s="228"/>
      <c r="CZO23" s="228"/>
      <c r="CZP23" s="228"/>
      <c r="CZQ23" s="228"/>
      <c r="CZR23" s="228"/>
      <c r="CZS23" s="226"/>
      <c r="CZT23" s="226"/>
      <c r="CZU23" s="224"/>
      <c r="CZV23" s="225"/>
      <c r="CZW23" s="226"/>
      <c r="CZX23" s="227"/>
      <c r="CZY23" s="228"/>
      <c r="CZZ23" s="228"/>
      <c r="DAA23" s="228"/>
      <c r="DAB23" s="228"/>
      <c r="DAC23" s="228"/>
      <c r="DAD23" s="228"/>
      <c r="DAE23" s="226"/>
      <c r="DAF23" s="226"/>
      <c r="DAG23" s="224"/>
      <c r="DAH23" s="225"/>
      <c r="DAI23" s="226"/>
      <c r="DAJ23" s="227"/>
      <c r="DAK23" s="228"/>
      <c r="DAL23" s="228"/>
      <c r="DAM23" s="228"/>
      <c r="DAN23" s="228"/>
      <c r="DAO23" s="228"/>
      <c r="DAP23" s="228"/>
      <c r="DAQ23" s="226"/>
      <c r="DAR23" s="226"/>
      <c r="DAS23" s="224"/>
      <c r="DAT23" s="225"/>
      <c r="DAU23" s="226"/>
      <c r="DAV23" s="227"/>
      <c r="DAW23" s="228"/>
      <c r="DAX23" s="228"/>
      <c r="DAY23" s="228"/>
      <c r="DAZ23" s="228"/>
      <c r="DBA23" s="228"/>
      <c r="DBB23" s="228"/>
      <c r="DBC23" s="226"/>
      <c r="DBD23" s="226"/>
      <c r="DBE23" s="224"/>
      <c r="DBF23" s="225"/>
      <c r="DBG23" s="226"/>
      <c r="DBH23" s="227"/>
      <c r="DBI23" s="228"/>
      <c r="DBJ23" s="228"/>
      <c r="DBK23" s="228"/>
      <c r="DBL23" s="228"/>
      <c r="DBM23" s="228"/>
      <c r="DBN23" s="228"/>
      <c r="DBO23" s="226"/>
      <c r="DBP23" s="226"/>
      <c r="DBQ23" s="224"/>
      <c r="DBR23" s="225"/>
      <c r="DBS23" s="226"/>
      <c r="DBT23" s="227"/>
      <c r="DBU23" s="228"/>
      <c r="DBV23" s="228"/>
      <c r="DBW23" s="228"/>
      <c r="DBX23" s="228"/>
      <c r="DBY23" s="228"/>
      <c r="DBZ23" s="228"/>
      <c r="DCA23" s="226"/>
      <c r="DCB23" s="226"/>
      <c r="DCC23" s="224"/>
      <c r="DCD23" s="225"/>
      <c r="DCE23" s="226"/>
      <c r="DCF23" s="227"/>
      <c r="DCG23" s="228"/>
      <c r="DCH23" s="228"/>
      <c r="DCI23" s="228"/>
      <c r="DCJ23" s="228"/>
      <c r="DCK23" s="228"/>
      <c r="DCL23" s="228"/>
      <c r="DCM23" s="226"/>
      <c r="DCN23" s="226"/>
      <c r="DCO23" s="224"/>
      <c r="DCP23" s="225"/>
      <c r="DCQ23" s="226"/>
      <c r="DCR23" s="227"/>
      <c r="DCS23" s="228"/>
      <c r="DCT23" s="228"/>
      <c r="DCU23" s="228"/>
      <c r="DCV23" s="228"/>
      <c r="DCW23" s="228"/>
      <c r="DCX23" s="228"/>
      <c r="DCY23" s="226"/>
      <c r="DCZ23" s="226"/>
      <c r="DDA23" s="224"/>
      <c r="DDB23" s="225"/>
      <c r="DDC23" s="226"/>
      <c r="DDD23" s="227"/>
      <c r="DDE23" s="228"/>
      <c r="DDF23" s="228"/>
      <c r="DDG23" s="228"/>
      <c r="DDH23" s="228"/>
      <c r="DDI23" s="228"/>
      <c r="DDJ23" s="228"/>
      <c r="DDK23" s="226"/>
      <c r="DDL23" s="226"/>
      <c r="DDM23" s="224"/>
      <c r="DDN23" s="225"/>
      <c r="DDO23" s="226"/>
      <c r="DDP23" s="227"/>
      <c r="DDQ23" s="228"/>
      <c r="DDR23" s="228"/>
      <c r="DDS23" s="228"/>
      <c r="DDT23" s="228"/>
      <c r="DDU23" s="228"/>
      <c r="DDV23" s="228"/>
      <c r="DDW23" s="226"/>
      <c r="DDX23" s="226"/>
      <c r="DDY23" s="224"/>
      <c r="DDZ23" s="225"/>
      <c r="DEA23" s="226"/>
      <c r="DEB23" s="227"/>
      <c r="DEC23" s="228"/>
      <c r="DED23" s="228"/>
      <c r="DEE23" s="228"/>
      <c r="DEF23" s="228"/>
      <c r="DEG23" s="228"/>
      <c r="DEH23" s="228"/>
      <c r="DEI23" s="226"/>
      <c r="DEJ23" s="226"/>
      <c r="DEK23" s="224"/>
      <c r="DEL23" s="225"/>
      <c r="DEM23" s="226"/>
      <c r="DEN23" s="227"/>
      <c r="DEO23" s="228"/>
      <c r="DEP23" s="228"/>
      <c r="DEQ23" s="228"/>
      <c r="DER23" s="228"/>
      <c r="DES23" s="228"/>
      <c r="DET23" s="228"/>
      <c r="DEU23" s="226"/>
      <c r="DEV23" s="226"/>
      <c r="DEW23" s="224"/>
      <c r="DEX23" s="225"/>
      <c r="DEY23" s="226"/>
      <c r="DEZ23" s="227"/>
      <c r="DFA23" s="228"/>
      <c r="DFB23" s="228"/>
      <c r="DFC23" s="228"/>
      <c r="DFD23" s="228"/>
      <c r="DFE23" s="228"/>
      <c r="DFF23" s="228"/>
      <c r="DFG23" s="226"/>
      <c r="DFH23" s="226"/>
      <c r="DFI23" s="224"/>
      <c r="DFJ23" s="225"/>
      <c r="DFK23" s="226"/>
      <c r="DFL23" s="227"/>
      <c r="DFM23" s="228"/>
      <c r="DFN23" s="228"/>
      <c r="DFO23" s="228"/>
      <c r="DFP23" s="228"/>
      <c r="DFQ23" s="228"/>
      <c r="DFR23" s="228"/>
      <c r="DFS23" s="226"/>
      <c r="DFT23" s="226"/>
      <c r="DFU23" s="224"/>
      <c r="DFV23" s="225"/>
      <c r="DFW23" s="226"/>
      <c r="DFX23" s="227"/>
      <c r="DFY23" s="228"/>
      <c r="DFZ23" s="228"/>
      <c r="DGA23" s="228"/>
      <c r="DGB23" s="228"/>
      <c r="DGC23" s="228"/>
      <c r="DGD23" s="228"/>
      <c r="DGE23" s="226"/>
      <c r="DGF23" s="226"/>
      <c r="DGG23" s="224"/>
      <c r="DGH23" s="225"/>
      <c r="DGI23" s="226"/>
      <c r="DGJ23" s="227"/>
      <c r="DGK23" s="228"/>
      <c r="DGL23" s="228"/>
      <c r="DGM23" s="228"/>
      <c r="DGN23" s="228"/>
      <c r="DGO23" s="228"/>
      <c r="DGP23" s="228"/>
      <c r="DGQ23" s="226"/>
      <c r="DGR23" s="226"/>
      <c r="DGS23" s="224"/>
      <c r="DGT23" s="225"/>
      <c r="DGU23" s="226"/>
      <c r="DGV23" s="227"/>
      <c r="DGW23" s="228"/>
      <c r="DGX23" s="228"/>
      <c r="DGY23" s="228"/>
      <c r="DGZ23" s="228"/>
      <c r="DHA23" s="228"/>
      <c r="DHB23" s="228"/>
      <c r="DHC23" s="226"/>
      <c r="DHD23" s="226"/>
      <c r="DHE23" s="224"/>
      <c r="DHF23" s="225"/>
      <c r="DHG23" s="226"/>
      <c r="DHH23" s="227"/>
      <c r="DHI23" s="228"/>
      <c r="DHJ23" s="228"/>
      <c r="DHK23" s="228"/>
      <c r="DHL23" s="228"/>
      <c r="DHM23" s="228"/>
      <c r="DHN23" s="228"/>
      <c r="DHO23" s="226"/>
      <c r="DHP23" s="226"/>
      <c r="DHQ23" s="224"/>
      <c r="DHR23" s="225"/>
      <c r="DHS23" s="226"/>
      <c r="DHT23" s="227"/>
      <c r="DHU23" s="228"/>
      <c r="DHV23" s="228"/>
      <c r="DHW23" s="228"/>
      <c r="DHX23" s="228"/>
      <c r="DHY23" s="228"/>
      <c r="DHZ23" s="228"/>
      <c r="DIA23" s="226"/>
      <c r="DIB23" s="226"/>
      <c r="DIC23" s="224"/>
      <c r="DID23" s="225"/>
      <c r="DIE23" s="226"/>
      <c r="DIF23" s="227"/>
      <c r="DIG23" s="228"/>
      <c r="DIH23" s="228"/>
      <c r="DII23" s="228"/>
      <c r="DIJ23" s="228"/>
      <c r="DIK23" s="228"/>
      <c r="DIL23" s="228"/>
      <c r="DIM23" s="226"/>
      <c r="DIN23" s="226"/>
      <c r="DIO23" s="224"/>
      <c r="DIP23" s="225"/>
      <c r="DIQ23" s="226"/>
      <c r="DIR23" s="227"/>
      <c r="DIS23" s="228"/>
      <c r="DIT23" s="228"/>
      <c r="DIU23" s="228"/>
      <c r="DIV23" s="228"/>
      <c r="DIW23" s="228"/>
      <c r="DIX23" s="228"/>
      <c r="DIY23" s="226"/>
      <c r="DIZ23" s="226"/>
      <c r="DJA23" s="224"/>
      <c r="DJB23" s="225"/>
      <c r="DJC23" s="226"/>
      <c r="DJD23" s="227"/>
      <c r="DJE23" s="228"/>
      <c r="DJF23" s="228"/>
      <c r="DJG23" s="228"/>
      <c r="DJH23" s="228"/>
      <c r="DJI23" s="228"/>
      <c r="DJJ23" s="228"/>
      <c r="DJK23" s="226"/>
      <c r="DJL23" s="226"/>
      <c r="DJM23" s="224"/>
      <c r="DJN23" s="225"/>
      <c r="DJO23" s="226"/>
      <c r="DJP23" s="227"/>
      <c r="DJQ23" s="228"/>
      <c r="DJR23" s="228"/>
      <c r="DJS23" s="228"/>
      <c r="DJT23" s="228"/>
      <c r="DJU23" s="228"/>
      <c r="DJV23" s="228"/>
      <c r="DJW23" s="226"/>
      <c r="DJX23" s="226"/>
      <c r="DJY23" s="224"/>
      <c r="DJZ23" s="225"/>
      <c r="DKA23" s="226"/>
      <c r="DKB23" s="227"/>
      <c r="DKC23" s="228"/>
      <c r="DKD23" s="228"/>
      <c r="DKE23" s="228"/>
      <c r="DKF23" s="228"/>
      <c r="DKG23" s="228"/>
      <c r="DKH23" s="228"/>
      <c r="DKI23" s="226"/>
      <c r="DKJ23" s="226"/>
      <c r="DKK23" s="224"/>
      <c r="DKL23" s="225"/>
      <c r="DKM23" s="226"/>
      <c r="DKN23" s="227"/>
      <c r="DKO23" s="228"/>
      <c r="DKP23" s="228"/>
      <c r="DKQ23" s="228"/>
      <c r="DKR23" s="228"/>
      <c r="DKS23" s="228"/>
      <c r="DKT23" s="228"/>
      <c r="DKU23" s="226"/>
      <c r="DKV23" s="226"/>
      <c r="DKW23" s="224"/>
      <c r="DKX23" s="225"/>
      <c r="DKY23" s="226"/>
      <c r="DKZ23" s="227"/>
      <c r="DLA23" s="228"/>
      <c r="DLB23" s="228"/>
      <c r="DLC23" s="228"/>
      <c r="DLD23" s="228"/>
      <c r="DLE23" s="228"/>
      <c r="DLF23" s="228"/>
      <c r="DLG23" s="226"/>
      <c r="DLH23" s="226"/>
      <c r="DLI23" s="224"/>
      <c r="DLJ23" s="225"/>
      <c r="DLK23" s="226"/>
      <c r="DLL23" s="227"/>
      <c r="DLM23" s="228"/>
      <c r="DLN23" s="228"/>
      <c r="DLO23" s="228"/>
      <c r="DLP23" s="228"/>
      <c r="DLQ23" s="228"/>
      <c r="DLR23" s="228"/>
      <c r="DLS23" s="226"/>
      <c r="DLT23" s="226"/>
      <c r="DLU23" s="224"/>
      <c r="DLV23" s="225"/>
      <c r="DLW23" s="226"/>
      <c r="DLX23" s="227"/>
      <c r="DLY23" s="228"/>
      <c r="DLZ23" s="228"/>
      <c r="DMA23" s="228"/>
      <c r="DMB23" s="228"/>
      <c r="DMC23" s="228"/>
      <c r="DMD23" s="228"/>
      <c r="DME23" s="226"/>
      <c r="DMF23" s="226"/>
      <c r="DMG23" s="224"/>
      <c r="DMH23" s="225"/>
      <c r="DMI23" s="226"/>
      <c r="DMJ23" s="227"/>
      <c r="DMK23" s="228"/>
      <c r="DML23" s="228"/>
      <c r="DMM23" s="228"/>
      <c r="DMN23" s="228"/>
      <c r="DMO23" s="228"/>
      <c r="DMP23" s="228"/>
      <c r="DMQ23" s="226"/>
      <c r="DMR23" s="226"/>
      <c r="DMS23" s="224"/>
      <c r="DMT23" s="225"/>
      <c r="DMU23" s="226"/>
      <c r="DMV23" s="227"/>
      <c r="DMW23" s="228"/>
      <c r="DMX23" s="228"/>
      <c r="DMY23" s="228"/>
      <c r="DMZ23" s="228"/>
      <c r="DNA23" s="228"/>
      <c r="DNB23" s="228"/>
      <c r="DNC23" s="226"/>
      <c r="DND23" s="226"/>
      <c r="DNE23" s="224"/>
      <c r="DNF23" s="225"/>
      <c r="DNG23" s="226"/>
      <c r="DNH23" s="227"/>
      <c r="DNI23" s="228"/>
      <c r="DNJ23" s="228"/>
      <c r="DNK23" s="228"/>
      <c r="DNL23" s="228"/>
      <c r="DNM23" s="228"/>
      <c r="DNN23" s="228"/>
      <c r="DNO23" s="226"/>
      <c r="DNP23" s="226"/>
      <c r="DNQ23" s="224"/>
      <c r="DNR23" s="225"/>
      <c r="DNS23" s="226"/>
      <c r="DNT23" s="227"/>
      <c r="DNU23" s="228"/>
      <c r="DNV23" s="228"/>
      <c r="DNW23" s="228"/>
      <c r="DNX23" s="228"/>
      <c r="DNY23" s="228"/>
      <c r="DNZ23" s="228"/>
      <c r="DOA23" s="226"/>
      <c r="DOB23" s="226"/>
      <c r="DOC23" s="224"/>
      <c r="DOD23" s="225"/>
      <c r="DOE23" s="226"/>
      <c r="DOF23" s="227"/>
      <c r="DOG23" s="228"/>
      <c r="DOH23" s="228"/>
      <c r="DOI23" s="228"/>
      <c r="DOJ23" s="228"/>
      <c r="DOK23" s="228"/>
      <c r="DOL23" s="228"/>
      <c r="DOM23" s="226"/>
      <c r="DON23" s="226"/>
      <c r="DOO23" s="224"/>
      <c r="DOP23" s="225"/>
      <c r="DOQ23" s="226"/>
      <c r="DOR23" s="227"/>
      <c r="DOS23" s="228"/>
      <c r="DOT23" s="228"/>
      <c r="DOU23" s="228"/>
      <c r="DOV23" s="228"/>
      <c r="DOW23" s="228"/>
      <c r="DOX23" s="228"/>
      <c r="DOY23" s="226"/>
      <c r="DOZ23" s="226"/>
      <c r="DPA23" s="224"/>
      <c r="DPB23" s="225"/>
      <c r="DPC23" s="226"/>
      <c r="DPD23" s="227"/>
      <c r="DPE23" s="228"/>
      <c r="DPF23" s="228"/>
      <c r="DPG23" s="228"/>
      <c r="DPH23" s="228"/>
      <c r="DPI23" s="228"/>
      <c r="DPJ23" s="228"/>
      <c r="DPK23" s="226"/>
      <c r="DPL23" s="226"/>
      <c r="DPM23" s="224"/>
      <c r="DPN23" s="225"/>
      <c r="DPO23" s="226"/>
      <c r="DPP23" s="227"/>
      <c r="DPQ23" s="228"/>
      <c r="DPR23" s="228"/>
      <c r="DPS23" s="228"/>
      <c r="DPT23" s="228"/>
      <c r="DPU23" s="228"/>
      <c r="DPV23" s="228"/>
      <c r="DPW23" s="226"/>
      <c r="DPX23" s="226"/>
      <c r="DPY23" s="224"/>
      <c r="DPZ23" s="225"/>
      <c r="DQA23" s="226"/>
      <c r="DQB23" s="227"/>
      <c r="DQC23" s="228"/>
      <c r="DQD23" s="228"/>
      <c r="DQE23" s="228"/>
      <c r="DQF23" s="228"/>
      <c r="DQG23" s="228"/>
      <c r="DQH23" s="228"/>
      <c r="DQI23" s="226"/>
      <c r="DQJ23" s="226"/>
      <c r="DQK23" s="224"/>
      <c r="DQL23" s="225"/>
      <c r="DQM23" s="226"/>
      <c r="DQN23" s="227"/>
      <c r="DQO23" s="228"/>
      <c r="DQP23" s="228"/>
      <c r="DQQ23" s="228"/>
      <c r="DQR23" s="228"/>
      <c r="DQS23" s="228"/>
      <c r="DQT23" s="228"/>
      <c r="DQU23" s="226"/>
      <c r="DQV23" s="226"/>
      <c r="DQW23" s="224"/>
      <c r="DQX23" s="225"/>
      <c r="DQY23" s="226"/>
      <c r="DQZ23" s="227"/>
      <c r="DRA23" s="228"/>
      <c r="DRB23" s="228"/>
      <c r="DRC23" s="228"/>
      <c r="DRD23" s="228"/>
      <c r="DRE23" s="228"/>
      <c r="DRF23" s="228"/>
      <c r="DRG23" s="226"/>
      <c r="DRH23" s="226"/>
      <c r="DRI23" s="224"/>
      <c r="DRJ23" s="225"/>
      <c r="DRK23" s="226"/>
      <c r="DRL23" s="227"/>
      <c r="DRM23" s="228"/>
      <c r="DRN23" s="228"/>
      <c r="DRO23" s="228"/>
      <c r="DRP23" s="228"/>
      <c r="DRQ23" s="228"/>
      <c r="DRR23" s="228"/>
      <c r="DRS23" s="226"/>
      <c r="DRT23" s="226"/>
      <c r="DRU23" s="224"/>
      <c r="DRV23" s="225"/>
      <c r="DRW23" s="226"/>
      <c r="DRX23" s="227"/>
      <c r="DRY23" s="228"/>
      <c r="DRZ23" s="228"/>
      <c r="DSA23" s="228"/>
      <c r="DSB23" s="228"/>
      <c r="DSC23" s="228"/>
      <c r="DSD23" s="228"/>
      <c r="DSE23" s="226"/>
      <c r="DSF23" s="226"/>
      <c r="DSG23" s="224"/>
      <c r="DSH23" s="225"/>
      <c r="DSI23" s="226"/>
      <c r="DSJ23" s="227"/>
      <c r="DSK23" s="228"/>
      <c r="DSL23" s="228"/>
      <c r="DSM23" s="228"/>
      <c r="DSN23" s="228"/>
      <c r="DSO23" s="228"/>
      <c r="DSP23" s="228"/>
      <c r="DSQ23" s="226"/>
      <c r="DSR23" s="226"/>
      <c r="DSS23" s="224"/>
      <c r="DST23" s="225"/>
      <c r="DSU23" s="226"/>
      <c r="DSV23" s="227"/>
      <c r="DSW23" s="228"/>
      <c r="DSX23" s="228"/>
      <c r="DSY23" s="228"/>
      <c r="DSZ23" s="228"/>
      <c r="DTA23" s="228"/>
      <c r="DTB23" s="228"/>
      <c r="DTC23" s="226"/>
      <c r="DTD23" s="226"/>
      <c r="DTE23" s="224"/>
      <c r="DTF23" s="225"/>
      <c r="DTG23" s="226"/>
      <c r="DTH23" s="227"/>
      <c r="DTI23" s="228"/>
      <c r="DTJ23" s="228"/>
      <c r="DTK23" s="228"/>
      <c r="DTL23" s="228"/>
      <c r="DTM23" s="228"/>
      <c r="DTN23" s="228"/>
      <c r="DTO23" s="226"/>
      <c r="DTP23" s="226"/>
      <c r="DTQ23" s="224"/>
      <c r="DTR23" s="225"/>
      <c r="DTS23" s="226"/>
      <c r="DTT23" s="227"/>
      <c r="DTU23" s="228"/>
      <c r="DTV23" s="228"/>
      <c r="DTW23" s="228"/>
      <c r="DTX23" s="228"/>
      <c r="DTY23" s="228"/>
      <c r="DTZ23" s="228"/>
      <c r="DUA23" s="226"/>
      <c r="DUB23" s="226"/>
      <c r="DUC23" s="224"/>
      <c r="DUD23" s="225"/>
      <c r="DUE23" s="226"/>
      <c r="DUF23" s="227"/>
      <c r="DUG23" s="228"/>
      <c r="DUH23" s="228"/>
      <c r="DUI23" s="228"/>
      <c r="DUJ23" s="228"/>
      <c r="DUK23" s="228"/>
      <c r="DUL23" s="228"/>
      <c r="DUM23" s="226"/>
      <c r="DUN23" s="226"/>
      <c r="DUO23" s="224"/>
      <c r="DUP23" s="225"/>
      <c r="DUQ23" s="226"/>
      <c r="DUR23" s="227"/>
      <c r="DUS23" s="228"/>
      <c r="DUT23" s="228"/>
      <c r="DUU23" s="228"/>
      <c r="DUV23" s="228"/>
      <c r="DUW23" s="228"/>
      <c r="DUX23" s="228"/>
      <c r="DUY23" s="226"/>
      <c r="DUZ23" s="226"/>
      <c r="DVA23" s="224"/>
      <c r="DVB23" s="225"/>
      <c r="DVC23" s="226"/>
      <c r="DVD23" s="227"/>
      <c r="DVE23" s="228"/>
      <c r="DVF23" s="228"/>
      <c r="DVG23" s="228"/>
      <c r="DVH23" s="228"/>
      <c r="DVI23" s="228"/>
      <c r="DVJ23" s="228"/>
      <c r="DVK23" s="226"/>
      <c r="DVL23" s="226"/>
      <c r="DVM23" s="224"/>
      <c r="DVN23" s="225"/>
      <c r="DVO23" s="226"/>
      <c r="DVP23" s="227"/>
      <c r="DVQ23" s="228"/>
      <c r="DVR23" s="228"/>
      <c r="DVS23" s="228"/>
      <c r="DVT23" s="228"/>
      <c r="DVU23" s="228"/>
      <c r="DVV23" s="228"/>
      <c r="DVW23" s="226"/>
      <c r="DVX23" s="226"/>
      <c r="DVY23" s="224"/>
      <c r="DVZ23" s="225"/>
      <c r="DWA23" s="226"/>
      <c r="DWB23" s="227"/>
      <c r="DWC23" s="228"/>
      <c r="DWD23" s="228"/>
      <c r="DWE23" s="228"/>
      <c r="DWF23" s="228"/>
      <c r="DWG23" s="228"/>
      <c r="DWH23" s="228"/>
      <c r="DWI23" s="226"/>
      <c r="DWJ23" s="226"/>
      <c r="DWK23" s="224"/>
      <c r="DWL23" s="225"/>
      <c r="DWM23" s="226"/>
      <c r="DWN23" s="227"/>
      <c r="DWO23" s="228"/>
      <c r="DWP23" s="228"/>
      <c r="DWQ23" s="228"/>
      <c r="DWR23" s="228"/>
      <c r="DWS23" s="228"/>
      <c r="DWT23" s="228"/>
      <c r="DWU23" s="226"/>
      <c r="DWV23" s="226"/>
      <c r="DWW23" s="224"/>
      <c r="DWX23" s="225"/>
      <c r="DWY23" s="226"/>
      <c r="DWZ23" s="227"/>
      <c r="DXA23" s="228"/>
      <c r="DXB23" s="228"/>
      <c r="DXC23" s="228"/>
      <c r="DXD23" s="228"/>
      <c r="DXE23" s="228"/>
      <c r="DXF23" s="228"/>
      <c r="DXG23" s="226"/>
      <c r="DXH23" s="226"/>
      <c r="DXI23" s="224"/>
      <c r="DXJ23" s="225"/>
      <c r="DXK23" s="226"/>
      <c r="DXL23" s="227"/>
      <c r="DXM23" s="228"/>
      <c r="DXN23" s="228"/>
      <c r="DXO23" s="228"/>
      <c r="DXP23" s="228"/>
      <c r="DXQ23" s="228"/>
      <c r="DXR23" s="228"/>
      <c r="DXS23" s="226"/>
      <c r="DXT23" s="226"/>
      <c r="DXU23" s="224"/>
      <c r="DXV23" s="225"/>
      <c r="DXW23" s="226"/>
      <c r="DXX23" s="227"/>
      <c r="DXY23" s="228"/>
      <c r="DXZ23" s="228"/>
      <c r="DYA23" s="228"/>
      <c r="DYB23" s="228"/>
      <c r="DYC23" s="228"/>
      <c r="DYD23" s="228"/>
      <c r="DYE23" s="226"/>
      <c r="DYF23" s="226"/>
      <c r="DYG23" s="224"/>
      <c r="DYH23" s="225"/>
      <c r="DYI23" s="226"/>
      <c r="DYJ23" s="227"/>
      <c r="DYK23" s="228"/>
      <c r="DYL23" s="228"/>
      <c r="DYM23" s="228"/>
      <c r="DYN23" s="228"/>
      <c r="DYO23" s="228"/>
      <c r="DYP23" s="228"/>
      <c r="DYQ23" s="226"/>
      <c r="DYR23" s="226"/>
      <c r="DYS23" s="224"/>
      <c r="DYT23" s="225"/>
      <c r="DYU23" s="226"/>
      <c r="DYV23" s="227"/>
      <c r="DYW23" s="228"/>
      <c r="DYX23" s="228"/>
      <c r="DYY23" s="228"/>
      <c r="DYZ23" s="228"/>
      <c r="DZA23" s="228"/>
      <c r="DZB23" s="228"/>
      <c r="DZC23" s="226"/>
      <c r="DZD23" s="226"/>
      <c r="DZE23" s="224"/>
      <c r="DZF23" s="225"/>
      <c r="DZG23" s="226"/>
      <c r="DZH23" s="227"/>
      <c r="DZI23" s="228"/>
      <c r="DZJ23" s="228"/>
      <c r="DZK23" s="228"/>
      <c r="DZL23" s="228"/>
      <c r="DZM23" s="228"/>
      <c r="DZN23" s="228"/>
      <c r="DZO23" s="226"/>
      <c r="DZP23" s="226"/>
      <c r="DZQ23" s="224"/>
      <c r="DZR23" s="225"/>
      <c r="DZS23" s="226"/>
      <c r="DZT23" s="227"/>
      <c r="DZU23" s="228"/>
      <c r="DZV23" s="228"/>
      <c r="DZW23" s="228"/>
      <c r="DZX23" s="228"/>
      <c r="DZY23" s="228"/>
      <c r="DZZ23" s="228"/>
      <c r="EAA23" s="226"/>
      <c r="EAB23" s="226"/>
      <c r="EAC23" s="224"/>
      <c r="EAD23" s="225"/>
      <c r="EAE23" s="226"/>
      <c r="EAF23" s="227"/>
      <c r="EAG23" s="228"/>
      <c r="EAH23" s="228"/>
      <c r="EAI23" s="228"/>
      <c r="EAJ23" s="228"/>
      <c r="EAK23" s="228"/>
      <c r="EAL23" s="228"/>
      <c r="EAM23" s="226"/>
      <c r="EAN23" s="226"/>
      <c r="EAO23" s="224"/>
      <c r="EAP23" s="225"/>
      <c r="EAQ23" s="226"/>
      <c r="EAR23" s="227"/>
      <c r="EAS23" s="228"/>
      <c r="EAT23" s="228"/>
      <c r="EAU23" s="228"/>
      <c r="EAV23" s="228"/>
      <c r="EAW23" s="228"/>
      <c r="EAX23" s="228"/>
      <c r="EAY23" s="226"/>
      <c r="EAZ23" s="226"/>
      <c r="EBA23" s="224"/>
      <c r="EBB23" s="225"/>
      <c r="EBC23" s="226"/>
      <c r="EBD23" s="227"/>
      <c r="EBE23" s="228"/>
      <c r="EBF23" s="228"/>
      <c r="EBG23" s="228"/>
      <c r="EBH23" s="228"/>
      <c r="EBI23" s="228"/>
      <c r="EBJ23" s="228"/>
      <c r="EBK23" s="226"/>
      <c r="EBL23" s="226"/>
      <c r="EBM23" s="224"/>
      <c r="EBN23" s="225"/>
      <c r="EBO23" s="226"/>
      <c r="EBP23" s="227"/>
      <c r="EBQ23" s="228"/>
      <c r="EBR23" s="228"/>
      <c r="EBS23" s="228"/>
      <c r="EBT23" s="228"/>
      <c r="EBU23" s="228"/>
      <c r="EBV23" s="228"/>
      <c r="EBW23" s="226"/>
      <c r="EBX23" s="226"/>
      <c r="EBY23" s="224"/>
      <c r="EBZ23" s="225"/>
      <c r="ECA23" s="226"/>
      <c r="ECB23" s="227"/>
      <c r="ECC23" s="228"/>
      <c r="ECD23" s="228"/>
      <c r="ECE23" s="228"/>
      <c r="ECF23" s="228"/>
      <c r="ECG23" s="228"/>
      <c r="ECH23" s="228"/>
      <c r="ECI23" s="226"/>
      <c r="ECJ23" s="226"/>
      <c r="ECK23" s="224"/>
      <c r="ECL23" s="225"/>
      <c r="ECM23" s="226"/>
      <c r="ECN23" s="227"/>
      <c r="ECO23" s="228"/>
      <c r="ECP23" s="228"/>
      <c r="ECQ23" s="228"/>
      <c r="ECR23" s="228"/>
      <c r="ECS23" s="228"/>
      <c r="ECT23" s="228"/>
      <c r="ECU23" s="226"/>
      <c r="ECV23" s="226"/>
      <c r="ECW23" s="224"/>
      <c r="ECX23" s="225"/>
      <c r="ECY23" s="226"/>
      <c r="ECZ23" s="227"/>
      <c r="EDA23" s="228"/>
      <c r="EDB23" s="228"/>
      <c r="EDC23" s="228"/>
      <c r="EDD23" s="228"/>
      <c r="EDE23" s="228"/>
      <c r="EDF23" s="228"/>
      <c r="EDG23" s="226"/>
      <c r="EDH23" s="226"/>
      <c r="EDI23" s="224"/>
      <c r="EDJ23" s="225"/>
      <c r="EDK23" s="226"/>
      <c r="EDL23" s="227"/>
      <c r="EDM23" s="228"/>
      <c r="EDN23" s="228"/>
      <c r="EDO23" s="228"/>
      <c r="EDP23" s="228"/>
      <c r="EDQ23" s="228"/>
      <c r="EDR23" s="228"/>
      <c r="EDS23" s="226"/>
      <c r="EDT23" s="226"/>
      <c r="EDU23" s="224"/>
      <c r="EDV23" s="225"/>
      <c r="EDW23" s="226"/>
      <c r="EDX23" s="227"/>
      <c r="EDY23" s="228"/>
      <c r="EDZ23" s="228"/>
      <c r="EEA23" s="228"/>
      <c r="EEB23" s="228"/>
      <c r="EEC23" s="228"/>
      <c r="EED23" s="228"/>
      <c r="EEE23" s="226"/>
      <c r="EEF23" s="226"/>
      <c r="EEG23" s="224"/>
      <c r="EEH23" s="225"/>
      <c r="EEI23" s="226"/>
      <c r="EEJ23" s="227"/>
      <c r="EEK23" s="228"/>
      <c r="EEL23" s="228"/>
      <c r="EEM23" s="228"/>
      <c r="EEN23" s="228"/>
      <c r="EEO23" s="228"/>
      <c r="EEP23" s="228"/>
      <c r="EEQ23" s="226"/>
      <c r="EER23" s="226"/>
      <c r="EES23" s="224"/>
      <c r="EET23" s="225"/>
      <c r="EEU23" s="226"/>
      <c r="EEV23" s="227"/>
      <c r="EEW23" s="228"/>
      <c r="EEX23" s="228"/>
      <c r="EEY23" s="228"/>
      <c r="EEZ23" s="228"/>
      <c r="EFA23" s="228"/>
      <c r="EFB23" s="228"/>
      <c r="EFC23" s="226"/>
      <c r="EFD23" s="226"/>
      <c r="EFE23" s="224"/>
      <c r="EFF23" s="225"/>
      <c r="EFG23" s="226"/>
      <c r="EFH23" s="227"/>
      <c r="EFI23" s="228"/>
      <c r="EFJ23" s="228"/>
      <c r="EFK23" s="228"/>
      <c r="EFL23" s="228"/>
      <c r="EFM23" s="228"/>
      <c r="EFN23" s="228"/>
      <c r="EFO23" s="226"/>
      <c r="EFP23" s="226"/>
      <c r="EFQ23" s="224"/>
      <c r="EFR23" s="225"/>
      <c r="EFS23" s="226"/>
      <c r="EFT23" s="227"/>
      <c r="EFU23" s="228"/>
      <c r="EFV23" s="228"/>
      <c r="EFW23" s="228"/>
      <c r="EFX23" s="228"/>
      <c r="EFY23" s="228"/>
      <c r="EFZ23" s="228"/>
      <c r="EGA23" s="226"/>
      <c r="EGB23" s="226"/>
      <c r="EGC23" s="224"/>
      <c r="EGD23" s="225"/>
      <c r="EGE23" s="226"/>
      <c r="EGF23" s="227"/>
      <c r="EGG23" s="228"/>
      <c r="EGH23" s="228"/>
      <c r="EGI23" s="228"/>
      <c r="EGJ23" s="228"/>
      <c r="EGK23" s="228"/>
      <c r="EGL23" s="228"/>
      <c r="EGM23" s="226"/>
      <c r="EGN23" s="226"/>
      <c r="EGO23" s="224"/>
      <c r="EGP23" s="225"/>
      <c r="EGQ23" s="226"/>
      <c r="EGR23" s="227"/>
      <c r="EGS23" s="228"/>
      <c r="EGT23" s="228"/>
      <c r="EGU23" s="228"/>
      <c r="EGV23" s="228"/>
      <c r="EGW23" s="228"/>
      <c r="EGX23" s="228"/>
      <c r="EGY23" s="226"/>
      <c r="EGZ23" s="226"/>
      <c r="EHA23" s="224"/>
      <c r="EHB23" s="225"/>
      <c r="EHC23" s="226"/>
      <c r="EHD23" s="227"/>
      <c r="EHE23" s="228"/>
      <c r="EHF23" s="228"/>
      <c r="EHG23" s="228"/>
      <c r="EHH23" s="228"/>
      <c r="EHI23" s="228"/>
      <c r="EHJ23" s="228"/>
      <c r="EHK23" s="226"/>
      <c r="EHL23" s="226"/>
      <c r="EHM23" s="224"/>
      <c r="EHN23" s="225"/>
      <c r="EHO23" s="226"/>
      <c r="EHP23" s="227"/>
      <c r="EHQ23" s="228"/>
      <c r="EHR23" s="228"/>
      <c r="EHS23" s="228"/>
      <c r="EHT23" s="228"/>
      <c r="EHU23" s="228"/>
      <c r="EHV23" s="228"/>
      <c r="EHW23" s="226"/>
      <c r="EHX23" s="226"/>
      <c r="EHY23" s="224"/>
      <c r="EHZ23" s="225"/>
      <c r="EIA23" s="226"/>
      <c r="EIB23" s="227"/>
      <c r="EIC23" s="228"/>
      <c r="EID23" s="228"/>
      <c r="EIE23" s="228"/>
      <c r="EIF23" s="228"/>
      <c r="EIG23" s="228"/>
      <c r="EIH23" s="228"/>
      <c r="EII23" s="226"/>
      <c r="EIJ23" s="226"/>
      <c r="EIK23" s="224"/>
      <c r="EIL23" s="225"/>
      <c r="EIM23" s="226"/>
      <c r="EIN23" s="227"/>
      <c r="EIO23" s="228"/>
      <c r="EIP23" s="228"/>
      <c r="EIQ23" s="228"/>
      <c r="EIR23" s="228"/>
      <c r="EIS23" s="228"/>
      <c r="EIT23" s="228"/>
      <c r="EIU23" s="226"/>
      <c r="EIV23" s="226"/>
      <c r="EIW23" s="224"/>
      <c r="EIX23" s="225"/>
      <c r="EIY23" s="226"/>
      <c r="EIZ23" s="227"/>
      <c r="EJA23" s="228"/>
      <c r="EJB23" s="228"/>
      <c r="EJC23" s="228"/>
      <c r="EJD23" s="228"/>
      <c r="EJE23" s="228"/>
      <c r="EJF23" s="228"/>
      <c r="EJG23" s="226"/>
      <c r="EJH23" s="226"/>
      <c r="EJI23" s="224"/>
      <c r="EJJ23" s="225"/>
      <c r="EJK23" s="226"/>
      <c r="EJL23" s="227"/>
      <c r="EJM23" s="228"/>
      <c r="EJN23" s="228"/>
      <c r="EJO23" s="228"/>
      <c r="EJP23" s="228"/>
      <c r="EJQ23" s="228"/>
      <c r="EJR23" s="228"/>
      <c r="EJS23" s="226"/>
      <c r="EJT23" s="226"/>
      <c r="EJU23" s="224"/>
      <c r="EJV23" s="225"/>
      <c r="EJW23" s="226"/>
      <c r="EJX23" s="227"/>
      <c r="EJY23" s="228"/>
      <c r="EJZ23" s="228"/>
      <c r="EKA23" s="228"/>
      <c r="EKB23" s="228"/>
      <c r="EKC23" s="228"/>
      <c r="EKD23" s="228"/>
      <c r="EKE23" s="226"/>
      <c r="EKF23" s="226"/>
      <c r="EKG23" s="224"/>
      <c r="EKH23" s="225"/>
      <c r="EKI23" s="226"/>
      <c r="EKJ23" s="227"/>
      <c r="EKK23" s="228"/>
      <c r="EKL23" s="228"/>
      <c r="EKM23" s="228"/>
      <c r="EKN23" s="228"/>
      <c r="EKO23" s="228"/>
      <c r="EKP23" s="228"/>
      <c r="EKQ23" s="226"/>
      <c r="EKR23" s="226"/>
      <c r="EKS23" s="224"/>
      <c r="EKT23" s="225"/>
      <c r="EKU23" s="226"/>
      <c r="EKV23" s="227"/>
      <c r="EKW23" s="228"/>
      <c r="EKX23" s="228"/>
      <c r="EKY23" s="228"/>
      <c r="EKZ23" s="228"/>
      <c r="ELA23" s="228"/>
      <c r="ELB23" s="228"/>
      <c r="ELC23" s="226"/>
      <c r="ELD23" s="226"/>
      <c r="ELE23" s="224"/>
      <c r="ELF23" s="225"/>
      <c r="ELG23" s="226"/>
      <c r="ELH23" s="227"/>
      <c r="ELI23" s="228"/>
      <c r="ELJ23" s="228"/>
      <c r="ELK23" s="228"/>
      <c r="ELL23" s="228"/>
      <c r="ELM23" s="228"/>
      <c r="ELN23" s="228"/>
      <c r="ELO23" s="226"/>
      <c r="ELP23" s="226"/>
      <c r="ELQ23" s="224"/>
      <c r="ELR23" s="225"/>
      <c r="ELS23" s="226"/>
      <c r="ELT23" s="227"/>
      <c r="ELU23" s="228"/>
      <c r="ELV23" s="228"/>
      <c r="ELW23" s="228"/>
      <c r="ELX23" s="228"/>
      <c r="ELY23" s="228"/>
      <c r="ELZ23" s="228"/>
      <c r="EMA23" s="226"/>
      <c r="EMB23" s="226"/>
      <c r="EMC23" s="224"/>
      <c r="EMD23" s="225"/>
      <c r="EME23" s="226"/>
      <c r="EMF23" s="227"/>
      <c r="EMG23" s="228"/>
      <c r="EMH23" s="228"/>
      <c r="EMI23" s="228"/>
      <c r="EMJ23" s="228"/>
      <c r="EMK23" s="228"/>
      <c r="EML23" s="228"/>
      <c r="EMM23" s="226"/>
      <c r="EMN23" s="226"/>
      <c r="EMO23" s="224"/>
      <c r="EMP23" s="225"/>
      <c r="EMQ23" s="226"/>
      <c r="EMR23" s="227"/>
      <c r="EMS23" s="228"/>
      <c r="EMT23" s="228"/>
      <c r="EMU23" s="228"/>
      <c r="EMV23" s="228"/>
      <c r="EMW23" s="228"/>
      <c r="EMX23" s="228"/>
      <c r="EMY23" s="226"/>
      <c r="EMZ23" s="226"/>
      <c r="ENA23" s="224"/>
      <c r="ENB23" s="225"/>
      <c r="ENC23" s="226"/>
      <c r="END23" s="227"/>
      <c r="ENE23" s="228"/>
      <c r="ENF23" s="228"/>
      <c r="ENG23" s="228"/>
      <c r="ENH23" s="228"/>
      <c r="ENI23" s="228"/>
      <c r="ENJ23" s="228"/>
      <c r="ENK23" s="226"/>
      <c r="ENL23" s="226"/>
      <c r="ENM23" s="224"/>
      <c r="ENN23" s="225"/>
      <c r="ENO23" s="226"/>
      <c r="ENP23" s="227"/>
      <c r="ENQ23" s="228"/>
      <c r="ENR23" s="228"/>
      <c r="ENS23" s="228"/>
      <c r="ENT23" s="228"/>
      <c r="ENU23" s="228"/>
      <c r="ENV23" s="228"/>
      <c r="ENW23" s="226"/>
      <c r="ENX23" s="226"/>
      <c r="ENY23" s="224"/>
      <c r="ENZ23" s="225"/>
      <c r="EOA23" s="226"/>
      <c r="EOB23" s="227"/>
      <c r="EOC23" s="228"/>
      <c r="EOD23" s="228"/>
      <c r="EOE23" s="228"/>
      <c r="EOF23" s="228"/>
      <c r="EOG23" s="228"/>
      <c r="EOH23" s="228"/>
      <c r="EOI23" s="226"/>
      <c r="EOJ23" s="226"/>
      <c r="EOK23" s="224"/>
      <c r="EOL23" s="225"/>
      <c r="EOM23" s="226"/>
      <c r="EON23" s="227"/>
      <c r="EOO23" s="228"/>
      <c r="EOP23" s="228"/>
      <c r="EOQ23" s="228"/>
      <c r="EOR23" s="228"/>
      <c r="EOS23" s="228"/>
      <c r="EOT23" s="228"/>
      <c r="EOU23" s="226"/>
      <c r="EOV23" s="226"/>
      <c r="EOW23" s="224"/>
      <c r="EOX23" s="225"/>
      <c r="EOY23" s="226"/>
      <c r="EOZ23" s="227"/>
      <c r="EPA23" s="228"/>
      <c r="EPB23" s="228"/>
      <c r="EPC23" s="228"/>
      <c r="EPD23" s="228"/>
      <c r="EPE23" s="228"/>
      <c r="EPF23" s="228"/>
      <c r="EPG23" s="226"/>
      <c r="EPH23" s="226"/>
      <c r="EPI23" s="224"/>
      <c r="EPJ23" s="225"/>
      <c r="EPK23" s="226"/>
      <c r="EPL23" s="227"/>
      <c r="EPM23" s="228"/>
      <c r="EPN23" s="228"/>
      <c r="EPO23" s="228"/>
      <c r="EPP23" s="228"/>
      <c r="EPQ23" s="228"/>
      <c r="EPR23" s="228"/>
      <c r="EPS23" s="226"/>
      <c r="EPT23" s="226"/>
      <c r="EPU23" s="224"/>
      <c r="EPV23" s="225"/>
      <c r="EPW23" s="226"/>
      <c r="EPX23" s="227"/>
      <c r="EPY23" s="228"/>
      <c r="EPZ23" s="228"/>
      <c r="EQA23" s="228"/>
      <c r="EQB23" s="228"/>
      <c r="EQC23" s="228"/>
      <c r="EQD23" s="228"/>
      <c r="EQE23" s="226"/>
      <c r="EQF23" s="226"/>
      <c r="EQG23" s="224"/>
      <c r="EQH23" s="225"/>
      <c r="EQI23" s="226"/>
      <c r="EQJ23" s="227"/>
      <c r="EQK23" s="228"/>
      <c r="EQL23" s="228"/>
      <c r="EQM23" s="228"/>
      <c r="EQN23" s="228"/>
      <c r="EQO23" s="228"/>
      <c r="EQP23" s="228"/>
      <c r="EQQ23" s="226"/>
      <c r="EQR23" s="226"/>
      <c r="EQS23" s="224"/>
      <c r="EQT23" s="225"/>
      <c r="EQU23" s="226"/>
      <c r="EQV23" s="227"/>
      <c r="EQW23" s="228"/>
      <c r="EQX23" s="228"/>
      <c r="EQY23" s="228"/>
      <c r="EQZ23" s="228"/>
      <c r="ERA23" s="228"/>
      <c r="ERB23" s="228"/>
      <c r="ERC23" s="226"/>
      <c r="ERD23" s="226"/>
      <c r="ERE23" s="224"/>
      <c r="ERF23" s="225"/>
      <c r="ERG23" s="226"/>
      <c r="ERH23" s="227"/>
      <c r="ERI23" s="228"/>
      <c r="ERJ23" s="228"/>
      <c r="ERK23" s="228"/>
      <c r="ERL23" s="228"/>
      <c r="ERM23" s="228"/>
      <c r="ERN23" s="228"/>
      <c r="ERO23" s="226"/>
      <c r="ERP23" s="226"/>
      <c r="ERQ23" s="224"/>
      <c r="ERR23" s="225"/>
      <c r="ERS23" s="226"/>
      <c r="ERT23" s="227"/>
      <c r="ERU23" s="228"/>
      <c r="ERV23" s="228"/>
      <c r="ERW23" s="228"/>
      <c r="ERX23" s="228"/>
      <c r="ERY23" s="228"/>
      <c r="ERZ23" s="228"/>
      <c r="ESA23" s="226"/>
      <c r="ESB23" s="226"/>
      <c r="ESC23" s="224"/>
      <c r="ESD23" s="225"/>
      <c r="ESE23" s="226"/>
      <c r="ESF23" s="227"/>
      <c r="ESG23" s="228"/>
      <c r="ESH23" s="228"/>
      <c r="ESI23" s="228"/>
      <c r="ESJ23" s="228"/>
      <c r="ESK23" s="228"/>
      <c r="ESL23" s="228"/>
      <c r="ESM23" s="226"/>
      <c r="ESN23" s="226"/>
      <c r="ESO23" s="224"/>
      <c r="ESP23" s="225"/>
      <c r="ESQ23" s="226"/>
      <c r="ESR23" s="227"/>
      <c r="ESS23" s="228"/>
      <c r="EST23" s="228"/>
      <c r="ESU23" s="228"/>
      <c r="ESV23" s="228"/>
      <c r="ESW23" s="228"/>
      <c r="ESX23" s="228"/>
      <c r="ESY23" s="226"/>
      <c r="ESZ23" s="226"/>
      <c r="ETA23" s="224"/>
      <c r="ETB23" s="225"/>
      <c r="ETC23" s="226"/>
      <c r="ETD23" s="227"/>
      <c r="ETE23" s="228"/>
      <c r="ETF23" s="228"/>
      <c r="ETG23" s="228"/>
      <c r="ETH23" s="228"/>
      <c r="ETI23" s="228"/>
      <c r="ETJ23" s="228"/>
      <c r="ETK23" s="226"/>
      <c r="ETL23" s="226"/>
      <c r="ETM23" s="224"/>
      <c r="ETN23" s="225"/>
      <c r="ETO23" s="226"/>
      <c r="ETP23" s="227"/>
      <c r="ETQ23" s="228"/>
      <c r="ETR23" s="228"/>
      <c r="ETS23" s="228"/>
      <c r="ETT23" s="228"/>
      <c r="ETU23" s="228"/>
      <c r="ETV23" s="228"/>
      <c r="ETW23" s="226"/>
      <c r="ETX23" s="226"/>
      <c r="ETY23" s="224"/>
      <c r="ETZ23" s="225"/>
      <c r="EUA23" s="226"/>
      <c r="EUB23" s="227"/>
      <c r="EUC23" s="228"/>
      <c r="EUD23" s="228"/>
      <c r="EUE23" s="228"/>
      <c r="EUF23" s="228"/>
      <c r="EUG23" s="228"/>
      <c r="EUH23" s="228"/>
      <c r="EUI23" s="226"/>
      <c r="EUJ23" s="226"/>
      <c r="EUK23" s="224"/>
      <c r="EUL23" s="225"/>
      <c r="EUM23" s="226"/>
      <c r="EUN23" s="227"/>
      <c r="EUO23" s="228"/>
      <c r="EUP23" s="228"/>
      <c r="EUQ23" s="228"/>
      <c r="EUR23" s="228"/>
      <c r="EUS23" s="228"/>
      <c r="EUT23" s="228"/>
      <c r="EUU23" s="226"/>
      <c r="EUV23" s="226"/>
      <c r="EUW23" s="224"/>
      <c r="EUX23" s="225"/>
      <c r="EUY23" s="226"/>
      <c r="EUZ23" s="227"/>
      <c r="EVA23" s="228"/>
      <c r="EVB23" s="228"/>
      <c r="EVC23" s="228"/>
      <c r="EVD23" s="228"/>
      <c r="EVE23" s="228"/>
      <c r="EVF23" s="228"/>
      <c r="EVG23" s="226"/>
      <c r="EVH23" s="226"/>
      <c r="EVI23" s="224"/>
      <c r="EVJ23" s="225"/>
      <c r="EVK23" s="226"/>
      <c r="EVL23" s="227"/>
      <c r="EVM23" s="228"/>
      <c r="EVN23" s="228"/>
      <c r="EVO23" s="228"/>
      <c r="EVP23" s="228"/>
      <c r="EVQ23" s="228"/>
      <c r="EVR23" s="228"/>
      <c r="EVS23" s="226"/>
      <c r="EVT23" s="226"/>
      <c r="EVU23" s="224"/>
      <c r="EVV23" s="225"/>
      <c r="EVW23" s="226"/>
      <c r="EVX23" s="227"/>
      <c r="EVY23" s="228"/>
      <c r="EVZ23" s="228"/>
      <c r="EWA23" s="228"/>
      <c r="EWB23" s="228"/>
      <c r="EWC23" s="228"/>
      <c r="EWD23" s="228"/>
      <c r="EWE23" s="226"/>
      <c r="EWF23" s="226"/>
      <c r="EWG23" s="224"/>
      <c r="EWH23" s="225"/>
      <c r="EWI23" s="226"/>
      <c r="EWJ23" s="227"/>
      <c r="EWK23" s="228"/>
      <c r="EWL23" s="228"/>
      <c r="EWM23" s="228"/>
      <c r="EWN23" s="228"/>
      <c r="EWO23" s="228"/>
      <c r="EWP23" s="228"/>
      <c r="EWQ23" s="226"/>
      <c r="EWR23" s="226"/>
      <c r="EWS23" s="224"/>
      <c r="EWT23" s="225"/>
      <c r="EWU23" s="226"/>
      <c r="EWV23" s="227"/>
      <c r="EWW23" s="228"/>
      <c r="EWX23" s="228"/>
      <c r="EWY23" s="228"/>
      <c r="EWZ23" s="228"/>
      <c r="EXA23" s="228"/>
      <c r="EXB23" s="228"/>
      <c r="EXC23" s="226"/>
      <c r="EXD23" s="226"/>
      <c r="EXE23" s="224"/>
      <c r="EXF23" s="225"/>
      <c r="EXG23" s="226"/>
      <c r="EXH23" s="227"/>
      <c r="EXI23" s="228"/>
      <c r="EXJ23" s="228"/>
      <c r="EXK23" s="228"/>
      <c r="EXL23" s="228"/>
      <c r="EXM23" s="228"/>
      <c r="EXN23" s="228"/>
      <c r="EXO23" s="226"/>
      <c r="EXP23" s="226"/>
      <c r="EXQ23" s="224"/>
      <c r="EXR23" s="225"/>
      <c r="EXS23" s="226"/>
      <c r="EXT23" s="227"/>
      <c r="EXU23" s="228"/>
      <c r="EXV23" s="228"/>
      <c r="EXW23" s="228"/>
      <c r="EXX23" s="228"/>
      <c r="EXY23" s="228"/>
      <c r="EXZ23" s="228"/>
      <c r="EYA23" s="226"/>
      <c r="EYB23" s="226"/>
      <c r="EYC23" s="224"/>
      <c r="EYD23" s="225"/>
      <c r="EYE23" s="226"/>
      <c r="EYF23" s="227"/>
      <c r="EYG23" s="228"/>
      <c r="EYH23" s="228"/>
      <c r="EYI23" s="228"/>
      <c r="EYJ23" s="228"/>
      <c r="EYK23" s="228"/>
      <c r="EYL23" s="228"/>
      <c r="EYM23" s="226"/>
      <c r="EYN23" s="226"/>
      <c r="EYO23" s="224"/>
      <c r="EYP23" s="225"/>
      <c r="EYQ23" s="226"/>
      <c r="EYR23" s="227"/>
      <c r="EYS23" s="228"/>
      <c r="EYT23" s="228"/>
      <c r="EYU23" s="228"/>
      <c r="EYV23" s="228"/>
      <c r="EYW23" s="228"/>
      <c r="EYX23" s="228"/>
      <c r="EYY23" s="226"/>
      <c r="EYZ23" s="226"/>
      <c r="EZA23" s="224"/>
      <c r="EZB23" s="225"/>
      <c r="EZC23" s="226"/>
      <c r="EZD23" s="227"/>
      <c r="EZE23" s="228"/>
      <c r="EZF23" s="228"/>
      <c r="EZG23" s="228"/>
      <c r="EZH23" s="228"/>
      <c r="EZI23" s="228"/>
      <c r="EZJ23" s="228"/>
      <c r="EZK23" s="226"/>
      <c r="EZL23" s="226"/>
      <c r="EZM23" s="224"/>
      <c r="EZN23" s="225"/>
      <c r="EZO23" s="226"/>
      <c r="EZP23" s="227"/>
      <c r="EZQ23" s="228"/>
      <c r="EZR23" s="228"/>
      <c r="EZS23" s="228"/>
      <c r="EZT23" s="228"/>
      <c r="EZU23" s="228"/>
      <c r="EZV23" s="228"/>
      <c r="EZW23" s="226"/>
      <c r="EZX23" s="226"/>
      <c r="EZY23" s="224"/>
      <c r="EZZ23" s="225"/>
      <c r="FAA23" s="226"/>
      <c r="FAB23" s="227"/>
      <c r="FAC23" s="228"/>
      <c r="FAD23" s="228"/>
      <c r="FAE23" s="228"/>
      <c r="FAF23" s="228"/>
      <c r="FAG23" s="228"/>
      <c r="FAH23" s="228"/>
      <c r="FAI23" s="226"/>
      <c r="FAJ23" s="226"/>
      <c r="FAK23" s="224"/>
      <c r="FAL23" s="225"/>
      <c r="FAM23" s="226"/>
      <c r="FAN23" s="227"/>
      <c r="FAO23" s="228"/>
      <c r="FAP23" s="228"/>
      <c r="FAQ23" s="228"/>
      <c r="FAR23" s="228"/>
      <c r="FAS23" s="228"/>
      <c r="FAT23" s="228"/>
      <c r="FAU23" s="226"/>
      <c r="FAV23" s="226"/>
      <c r="FAW23" s="224"/>
      <c r="FAX23" s="225"/>
      <c r="FAY23" s="226"/>
      <c r="FAZ23" s="227"/>
      <c r="FBA23" s="228"/>
      <c r="FBB23" s="228"/>
      <c r="FBC23" s="228"/>
      <c r="FBD23" s="228"/>
      <c r="FBE23" s="228"/>
      <c r="FBF23" s="228"/>
      <c r="FBG23" s="226"/>
      <c r="FBH23" s="226"/>
      <c r="FBI23" s="224"/>
      <c r="FBJ23" s="225"/>
      <c r="FBK23" s="226"/>
      <c r="FBL23" s="227"/>
      <c r="FBM23" s="228"/>
      <c r="FBN23" s="228"/>
      <c r="FBO23" s="228"/>
      <c r="FBP23" s="228"/>
      <c r="FBQ23" s="228"/>
      <c r="FBR23" s="228"/>
      <c r="FBS23" s="226"/>
      <c r="FBT23" s="226"/>
      <c r="FBU23" s="224"/>
      <c r="FBV23" s="225"/>
      <c r="FBW23" s="226"/>
      <c r="FBX23" s="227"/>
      <c r="FBY23" s="228"/>
      <c r="FBZ23" s="228"/>
      <c r="FCA23" s="228"/>
      <c r="FCB23" s="228"/>
      <c r="FCC23" s="228"/>
      <c r="FCD23" s="228"/>
      <c r="FCE23" s="226"/>
      <c r="FCF23" s="226"/>
      <c r="FCG23" s="224"/>
      <c r="FCH23" s="225"/>
      <c r="FCI23" s="226"/>
      <c r="FCJ23" s="227"/>
      <c r="FCK23" s="228"/>
      <c r="FCL23" s="228"/>
      <c r="FCM23" s="228"/>
      <c r="FCN23" s="228"/>
      <c r="FCO23" s="228"/>
      <c r="FCP23" s="228"/>
      <c r="FCQ23" s="226"/>
      <c r="FCR23" s="226"/>
      <c r="FCS23" s="224"/>
      <c r="FCT23" s="225"/>
      <c r="FCU23" s="226"/>
      <c r="FCV23" s="227"/>
      <c r="FCW23" s="228"/>
      <c r="FCX23" s="228"/>
      <c r="FCY23" s="228"/>
      <c r="FCZ23" s="228"/>
      <c r="FDA23" s="228"/>
      <c r="FDB23" s="228"/>
      <c r="FDC23" s="226"/>
      <c r="FDD23" s="226"/>
      <c r="FDE23" s="224"/>
      <c r="FDF23" s="225"/>
      <c r="FDG23" s="226"/>
      <c r="FDH23" s="227"/>
      <c r="FDI23" s="228"/>
      <c r="FDJ23" s="228"/>
      <c r="FDK23" s="228"/>
      <c r="FDL23" s="228"/>
      <c r="FDM23" s="228"/>
      <c r="FDN23" s="228"/>
      <c r="FDO23" s="226"/>
      <c r="FDP23" s="226"/>
      <c r="FDQ23" s="224"/>
      <c r="FDR23" s="225"/>
      <c r="FDS23" s="226"/>
      <c r="FDT23" s="227"/>
      <c r="FDU23" s="228"/>
      <c r="FDV23" s="228"/>
      <c r="FDW23" s="228"/>
      <c r="FDX23" s="228"/>
      <c r="FDY23" s="228"/>
      <c r="FDZ23" s="228"/>
      <c r="FEA23" s="226"/>
      <c r="FEB23" s="226"/>
      <c r="FEC23" s="224"/>
      <c r="FED23" s="225"/>
      <c r="FEE23" s="226"/>
      <c r="FEF23" s="227"/>
      <c r="FEG23" s="228"/>
      <c r="FEH23" s="228"/>
      <c r="FEI23" s="228"/>
      <c r="FEJ23" s="228"/>
      <c r="FEK23" s="228"/>
      <c r="FEL23" s="228"/>
      <c r="FEM23" s="226"/>
      <c r="FEN23" s="226"/>
      <c r="FEO23" s="224"/>
      <c r="FEP23" s="225"/>
      <c r="FEQ23" s="226"/>
      <c r="FER23" s="227"/>
      <c r="FES23" s="228"/>
      <c r="FET23" s="228"/>
      <c r="FEU23" s="228"/>
      <c r="FEV23" s="228"/>
      <c r="FEW23" s="228"/>
      <c r="FEX23" s="228"/>
      <c r="FEY23" s="226"/>
      <c r="FEZ23" s="226"/>
      <c r="FFA23" s="224"/>
      <c r="FFB23" s="225"/>
      <c r="FFC23" s="226"/>
      <c r="FFD23" s="227"/>
      <c r="FFE23" s="228"/>
      <c r="FFF23" s="228"/>
      <c r="FFG23" s="228"/>
      <c r="FFH23" s="228"/>
      <c r="FFI23" s="228"/>
      <c r="FFJ23" s="228"/>
      <c r="FFK23" s="226"/>
      <c r="FFL23" s="226"/>
      <c r="FFM23" s="224"/>
      <c r="FFN23" s="225"/>
      <c r="FFO23" s="226"/>
      <c r="FFP23" s="227"/>
      <c r="FFQ23" s="228"/>
      <c r="FFR23" s="228"/>
      <c r="FFS23" s="228"/>
      <c r="FFT23" s="228"/>
      <c r="FFU23" s="228"/>
      <c r="FFV23" s="228"/>
      <c r="FFW23" s="226"/>
      <c r="FFX23" s="226"/>
      <c r="FFY23" s="224"/>
      <c r="FFZ23" s="225"/>
      <c r="FGA23" s="226"/>
      <c r="FGB23" s="227"/>
      <c r="FGC23" s="228"/>
      <c r="FGD23" s="228"/>
      <c r="FGE23" s="228"/>
      <c r="FGF23" s="228"/>
      <c r="FGG23" s="228"/>
      <c r="FGH23" s="228"/>
      <c r="FGI23" s="226"/>
      <c r="FGJ23" s="226"/>
      <c r="FGK23" s="224"/>
      <c r="FGL23" s="225"/>
      <c r="FGM23" s="226"/>
      <c r="FGN23" s="227"/>
      <c r="FGO23" s="228"/>
      <c r="FGP23" s="228"/>
      <c r="FGQ23" s="228"/>
      <c r="FGR23" s="228"/>
      <c r="FGS23" s="228"/>
      <c r="FGT23" s="228"/>
      <c r="FGU23" s="226"/>
      <c r="FGV23" s="226"/>
      <c r="FGW23" s="224"/>
      <c r="FGX23" s="225"/>
      <c r="FGY23" s="226"/>
      <c r="FGZ23" s="227"/>
      <c r="FHA23" s="228"/>
      <c r="FHB23" s="228"/>
      <c r="FHC23" s="228"/>
      <c r="FHD23" s="228"/>
      <c r="FHE23" s="228"/>
      <c r="FHF23" s="228"/>
      <c r="FHG23" s="226"/>
      <c r="FHH23" s="226"/>
      <c r="FHI23" s="224"/>
      <c r="FHJ23" s="225"/>
      <c r="FHK23" s="226"/>
      <c r="FHL23" s="227"/>
      <c r="FHM23" s="228"/>
      <c r="FHN23" s="228"/>
      <c r="FHO23" s="228"/>
      <c r="FHP23" s="228"/>
      <c r="FHQ23" s="228"/>
      <c r="FHR23" s="228"/>
      <c r="FHS23" s="226"/>
      <c r="FHT23" s="226"/>
      <c r="FHU23" s="224"/>
      <c r="FHV23" s="225"/>
      <c r="FHW23" s="226"/>
      <c r="FHX23" s="227"/>
      <c r="FHY23" s="228"/>
      <c r="FHZ23" s="228"/>
      <c r="FIA23" s="228"/>
      <c r="FIB23" s="228"/>
      <c r="FIC23" s="228"/>
      <c r="FID23" s="228"/>
      <c r="FIE23" s="226"/>
      <c r="FIF23" s="226"/>
      <c r="FIG23" s="224"/>
      <c r="FIH23" s="225"/>
      <c r="FII23" s="226"/>
      <c r="FIJ23" s="227"/>
      <c r="FIK23" s="228"/>
      <c r="FIL23" s="228"/>
      <c r="FIM23" s="228"/>
      <c r="FIN23" s="228"/>
      <c r="FIO23" s="228"/>
      <c r="FIP23" s="228"/>
      <c r="FIQ23" s="226"/>
      <c r="FIR23" s="226"/>
      <c r="FIS23" s="224"/>
      <c r="FIT23" s="225"/>
      <c r="FIU23" s="226"/>
      <c r="FIV23" s="227"/>
      <c r="FIW23" s="228"/>
      <c r="FIX23" s="228"/>
      <c r="FIY23" s="228"/>
      <c r="FIZ23" s="228"/>
      <c r="FJA23" s="228"/>
      <c r="FJB23" s="228"/>
      <c r="FJC23" s="226"/>
      <c r="FJD23" s="226"/>
      <c r="FJE23" s="224"/>
      <c r="FJF23" s="225"/>
      <c r="FJG23" s="226"/>
      <c r="FJH23" s="227"/>
      <c r="FJI23" s="228"/>
      <c r="FJJ23" s="228"/>
      <c r="FJK23" s="228"/>
      <c r="FJL23" s="228"/>
      <c r="FJM23" s="228"/>
      <c r="FJN23" s="228"/>
      <c r="FJO23" s="226"/>
      <c r="FJP23" s="226"/>
      <c r="FJQ23" s="224"/>
      <c r="FJR23" s="225"/>
      <c r="FJS23" s="226"/>
      <c r="FJT23" s="227"/>
      <c r="FJU23" s="228"/>
      <c r="FJV23" s="228"/>
      <c r="FJW23" s="228"/>
      <c r="FJX23" s="228"/>
      <c r="FJY23" s="228"/>
      <c r="FJZ23" s="228"/>
      <c r="FKA23" s="226"/>
      <c r="FKB23" s="226"/>
      <c r="FKC23" s="224"/>
      <c r="FKD23" s="225"/>
      <c r="FKE23" s="226"/>
      <c r="FKF23" s="227"/>
      <c r="FKG23" s="228"/>
      <c r="FKH23" s="228"/>
      <c r="FKI23" s="228"/>
      <c r="FKJ23" s="228"/>
      <c r="FKK23" s="228"/>
      <c r="FKL23" s="228"/>
      <c r="FKM23" s="226"/>
      <c r="FKN23" s="226"/>
      <c r="FKO23" s="224"/>
      <c r="FKP23" s="225"/>
      <c r="FKQ23" s="226"/>
      <c r="FKR23" s="227"/>
      <c r="FKS23" s="228"/>
      <c r="FKT23" s="228"/>
      <c r="FKU23" s="228"/>
      <c r="FKV23" s="228"/>
      <c r="FKW23" s="228"/>
      <c r="FKX23" s="228"/>
      <c r="FKY23" s="226"/>
      <c r="FKZ23" s="226"/>
      <c r="FLA23" s="224"/>
      <c r="FLB23" s="225"/>
      <c r="FLC23" s="226"/>
      <c r="FLD23" s="227"/>
      <c r="FLE23" s="228"/>
      <c r="FLF23" s="228"/>
      <c r="FLG23" s="228"/>
      <c r="FLH23" s="228"/>
      <c r="FLI23" s="228"/>
      <c r="FLJ23" s="228"/>
      <c r="FLK23" s="226"/>
      <c r="FLL23" s="226"/>
      <c r="FLM23" s="224"/>
      <c r="FLN23" s="225"/>
      <c r="FLO23" s="226"/>
      <c r="FLP23" s="227"/>
      <c r="FLQ23" s="228"/>
      <c r="FLR23" s="228"/>
      <c r="FLS23" s="228"/>
      <c r="FLT23" s="228"/>
      <c r="FLU23" s="228"/>
      <c r="FLV23" s="228"/>
      <c r="FLW23" s="226"/>
      <c r="FLX23" s="226"/>
      <c r="FLY23" s="224"/>
      <c r="FLZ23" s="225"/>
      <c r="FMA23" s="226"/>
      <c r="FMB23" s="227"/>
      <c r="FMC23" s="228"/>
      <c r="FMD23" s="228"/>
      <c r="FME23" s="228"/>
      <c r="FMF23" s="228"/>
      <c r="FMG23" s="228"/>
      <c r="FMH23" s="228"/>
      <c r="FMI23" s="226"/>
      <c r="FMJ23" s="226"/>
      <c r="FMK23" s="224"/>
      <c r="FML23" s="225"/>
      <c r="FMM23" s="226"/>
      <c r="FMN23" s="227"/>
      <c r="FMO23" s="228"/>
      <c r="FMP23" s="228"/>
      <c r="FMQ23" s="228"/>
      <c r="FMR23" s="228"/>
      <c r="FMS23" s="228"/>
      <c r="FMT23" s="228"/>
      <c r="FMU23" s="226"/>
      <c r="FMV23" s="226"/>
      <c r="FMW23" s="224"/>
      <c r="FMX23" s="225"/>
      <c r="FMY23" s="226"/>
      <c r="FMZ23" s="227"/>
      <c r="FNA23" s="228"/>
      <c r="FNB23" s="228"/>
      <c r="FNC23" s="228"/>
      <c r="FND23" s="228"/>
      <c r="FNE23" s="228"/>
      <c r="FNF23" s="228"/>
      <c r="FNG23" s="226"/>
      <c r="FNH23" s="226"/>
      <c r="FNI23" s="224"/>
      <c r="FNJ23" s="225"/>
      <c r="FNK23" s="226"/>
      <c r="FNL23" s="227"/>
      <c r="FNM23" s="228"/>
      <c r="FNN23" s="228"/>
      <c r="FNO23" s="228"/>
      <c r="FNP23" s="228"/>
      <c r="FNQ23" s="228"/>
      <c r="FNR23" s="228"/>
      <c r="FNS23" s="226"/>
      <c r="FNT23" s="226"/>
      <c r="FNU23" s="224"/>
      <c r="FNV23" s="225"/>
      <c r="FNW23" s="226"/>
      <c r="FNX23" s="227"/>
      <c r="FNY23" s="228"/>
      <c r="FNZ23" s="228"/>
      <c r="FOA23" s="228"/>
      <c r="FOB23" s="228"/>
      <c r="FOC23" s="228"/>
      <c r="FOD23" s="228"/>
      <c r="FOE23" s="226"/>
      <c r="FOF23" s="226"/>
      <c r="FOG23" s="224"/>
      <c r="FOH23" s="225"/>
      <c r="FOI23" s="226"/>
      <c r="FOJ23" s="227"/>
      <c r="FOK23" s="228"/>
      <c r="FOL23" s="228"/>
      <c r="FOM23" s="228"/>
      <c r="FON23" s="228"/>
      <c r="FOO23" s="228"/>
      <c r="FOP23" s="228"/>
      <c r="FOQ23" s="226"/>
      <c r="FOR23" s="226"/>
      <c r="FOS23" s="224"/>
      <c r="FOT23" s="225"/>
      <c r="FOU23" s="226"/>
      <c r="FOV23" s="227"/>
      <c r="FOW23" s="228"/>
      <c r="FOX23" s="228"/>
      <c r="FOY23" s="228"/>
      <c r="FOZ23" s="228"/>
      <c r="FPA23" s="228"/>
      <c r="FPB23" s="228"/>
      <c r="FPC23" s="226"/>
      <c r="FPD23" s="226"/>
      <c r="FPE23" s="224"/>
      <c r="FPF23" s="225"/>
      <c r="FPG23" s="226"/>
      <c r="FPH23" s="227"/>
      <c r="FPI23" s="228"/>
      <c r="FPJ23" s="228"/>
      <c r="FPK23" s="228"/>
      <c r="FPL23" s="228"/>
      <c r="FPM23" s="228"/>
      <c r="FPN23" s="228"/>
      <c r="FPO23" s="226"/>
      <c r="FPP23" s="226"/>
      <c r="FPQ23" s="224"/>
      <c r="FPR23" s="225"/>
      <c r="FPS23" s="226"/>
      <c r="FPT23" s="227"/>
      <c r="FPU23" s="228"/>
      <c r="FPV23" s="228"/>
      <c r="FPW23" s="228"/>
      <c r="FPX23" s="228"/>
      <c r="FPY23" s="228"/>
      <c r="FPZ23" s="228"/>
      <c r="FQA23" s="226"/>
      <c r="FQB23" s="226"/>
      <c r="FQC23" s="224"/>
      <c r="FQD23" s="225"/>
      <c r="FQE23" s="226"/>
      <c r="FQF23" s="227"/>
      <c r="FQG23" s="228"/>
      <c r="FQH23" s="228"/>
      <c r="FQI23" s="228"/>
      <c r="FQJ23" s="228"/>
      <c r="FQK23" s="228"/>
      <c r="FQL23" s="228"/>
      <c r="FQM23" s="226"/>
      <c r="FQN23" s="226"/>
      <c r="FQO23" s="224"/>
      <c r="FQP23" s="225"/>
      <c r="FQQ23" s="226"/>
      <c r="FQR23" s="227"/>
      <c r="FQS23" s="228"/>
      <c r="FQT23" s="228"/>
      <c r="FQU23" s="228"/>
      <c r="FQV23" s="228"/>
      <c r="FQW23" s="228"/>
      <c r="FQX23" s="228"/>
      <c r="FQY23" s="226"/>
      <c r="FQZ23" s="226"/>
      <c r="FRA23" s="224"/>
      <c r="FRB23" s="225"/>
      <c r="FRC23" s="226"/>
      <c r="FRD23" s="227"/>
      <c r="FRE23" s="228"/>
      <c r="FRF23" s="228"/>
      <c r="FRG23" s="228"/>
      <c r="FRH23" s="228"/>
      <c r="FRI23" s="228"/>
      <c r="FRJ23" s="228"/>
      <c r="FRK23" s="226"/>
      <c r="FRL23" s="226"/>
      <c r="FRM23" s="224"/>
      <c r="FRN23" s="225"/>
      <c r="FRO23" s="226"/>
      <c r="FRP23" s="227"/>
      <c r="FRQ23" s="228"/>
      <c r="FRR23" s="228"/>
      <c r="FRS23" s="228"/>
      <c r="FRT23" s="228"/>
      <c r="FRU23" s="228"/>
      <c r="FRV23" s="228"/>
      <c r="FRW23" s="226"/>
      <c r="FRX23" s="226"/>
      <c r="FRY23" s="224"/>
      <c r="FRZ23" s="225"/>
      <c r="FSA23" s="226"/>
      <c r="FSB23" s="227"/>
      <c r="FSC23" s="228"/>
      <c r="FSD23" s="228"/>
      <c r="FSE23" s="228"/>
      <c r="FSF23" s="228"/>
      <c r="FSG23" s="228"/>
      <c r="FSH23" s="228"/>
      <c r="FSI23" s="226"/>
      <c r="FSJ23" s="226"/>
      <c r="FSK23" s="224"/>
      <c r="FSL23" s="225"/>
      <c r="FSM23" s="226"/>
      <c r="FSN23" s="227"/>
      <c r="FSO23" s="228"/>
      <c r="FSP23" s="228"/>
      <c r="FSQ23" s="228"/>
      <c r="FSR23" s="228"/>
      <c r="FSS23" s="228"/>
      <c r="FST23" s="228"/>
      <c r="FSU23" s="226"/>
      <c r="FSV23" s="226"/>
      <c r="FSW23" s="224"/>
      <c r="FSX23" s="225"/>
      <c r="FSY23" s="226"/>
      <c r="FSZ23" s="227"/>
      <c r="FTA23" s="228"/>
      <c r="FTB23" s="228"/>
      <c r="FTC23" s="228"/>
      <c r="FTD23" s="228"/>
      <c r="FTE23" s="228"/>
      <c r="FTF23" s="228"/>
      <c r="FTG23" s="226"/>
      <c r="FTH23" s="226"/>
      <c r="FTI23" s="224"/>
      <c r="FTJ23" s="225"/>
      <c r="FTK23" s="226"/>
      <c r="FTL23" s="227"/>
      <c r="FTM23" s="228"/>
      <c r="FTN23" s="228"/>
      <c r="FTO23" s="228"/>
      <c r="FTP23" s="228"/>
      <c r="FTQ23" s="228"/>
      <c r="FTR23" s="228"/>
      <c r="FTS23" s="226"/>
      <c r="FTT23" s="226"/>
      <c r="FTU23" s="224"/>
      <c r="FTV23" s="225"/>
      <c r="FTW23" s="226"/>
      <c r="FTX23" s="227"/>
      <c r="FTY23" s="228"/>
      <c r="FTZ23" s="228"/>
      <c r="FUA23" s="228"/>
      <c r="FUB23" s="228"/>
      <c r="FUC23" s="228"/>
      <c r="FUD23" s="228"/>
      <c r="FUE23" s="226"/>
      <c r="FUF23" s="226"/>
      <c r="FUG23" s="224"/>
      <c r="FUH23" s="225"/>
      <c r="FUI23" s="226"/>
      <c r="FUJ23" s="227"/>
      <c r="FUK23" s="228"/>
      <c r="FUL23" s="228"/>
      <c r="FUM23" s="228"/>
      <c r="FUN23" s="228"/>
      <c r="FUO23" s="228"/>
      <c r="FUP23" s="228"/>
      <c r="FUQ23" s="226"/>
      <c r="FUR23" s="226"/>
      <c r="FUS23" s="224"/>
      <c r="FUT23" s="225"/>
      <c r="FUU23" s="226"/>
      <c r="FUV23" s="227"/>
      <c r="FUW23" s="228"/>
      <c r="FUX23" s="228"/>
      <c r="FUY23" s="228"/>
      <c r="FUZ23" s="228"/>
      <c r="FVA23" s="228"/>
      <c r="FVB23" s="228"/>
      <c r="FVC23" s="226"/>
      <c r="FVD23" s="226"/>
      <c r="FVE23" s="224"/>
      <c r="FVF23" s="225"/>
      <c r="FVG23" s="226"/>
      <c r="FVH23" s="227"/>
      <c r="FVI23" s="228"/>
      <c r="FVJ23" s="228"/>
      <c r="FVK23" s="228"/>
      <c r="FVL23" s="228"/>
      <c r="FVM23" s="228"/>
      <c r="FVN23" s="228"/>
      <c r="FVO23" s="226"/>
      <c r="FVP23" s="226"/>
      <c r="FVQ23" s="224"/>
      <c r="FVR23" s="225"/>
      <c r="FVS23" s="226"/>
      <c r="FVT23" s="227"/>
      <c r="FVU23" s="228"/>
      <c r="FVV23" s="228"/>
      <c r="FVW23" s="228"/>
      <c r="FVX23" s="228"/>
      <c r="FVY23" s="228"/>
      <c r="FVZ23" s="228"/>
      <c r="FWA23" s="226"/>
      <c r="FWB23" s="226"/>
      <c r="FWC23" s="224"/>
      <c r="FWD23" s="225"/>
      <c r="FWE23" s="226"/>
      <c r="FWF23" s="227"/>
      <c r="FWG23" s="228"/>
      <c r="FWH23" s="228"/>
      <c r="FWI23" s="228"/>
      <c r="FWJ23" s="228"/>
      <c r="FWK23" s="228"/>
      <c r="FWL23" s="228"/>
      <c r="FWM23" s="226"/>
      <c r="FWN23" s="226"/>
      <c r="FWO23" s="224"/>
      <c r="FWP23" s="225"/>
      <c r="FWQ23" s="226"/>
      <c r="FWR23" s="227"/>
      <c r="FWS23" s="228"/>
      <c r="FWT23" s="228"/>
      <c r="FWU23" s="228"/>
      <c r="FWV23" s="228"/>
      <c r="FWW23" s="228"/>
      <c r="FWX23" s="228"/>
      <c r="FWY23" s="226"/>
      <c r="FWZ23" s="226"/>
      <c r="FXA23" s="224"/>
      <c r="FXB23" s="225"/>
      <c r="FXC23" s="226"/>
      <c r="FXD23" s="227"/>
      <c r="FXE23" s="228"/>
      <c r="FXF23" s="228"/>
      <c r="FXG23" s="228"/>
      <c r="FXH23" s="228"/>
      <c r="FXI23" s="228"/>
      <c r="FXJ23" s="228"/>
      <c r="FXK23" s="226"/>
      <c r="FXL23" s="226"/>
      <c r="FXM23" s="224"/>
      <c r="FXN23" s="225"/>
      <c r="FXO23" s="226"/>
      <c r="FXP23" s="227"/>
      <c r="FXQ23" s="228"/>
      <c r="FXR23" s="228"/>
      <c r="FXS23" s="228"/>
      <c r="FXT23" s="228"/>
      <c r="FXU23" s="228"/>
      <c r="FXV23" s="228"/>
      <c r="FXW23" s="226"/>
      <c r="FXX23" s="226"/>
      <c r="FXY23" s="224"/>
      <c r="FXZ23" s="225"/>
      <c r="FYA23" s="226"/>
      <c r="FYB23" s="227"/>
      <c r="FYC23" s="228"/>
      <c r="FYD23" s="228"/>
      <c r="FYE23" s="228"/>
      <c r="FYF23" s="228"/>
      <c r="FYG23" s="228"/>
      <c r="FYH23" s="228"/>
      <c r="FYI23" s="226"/>
      <c r="FYJ23" s="226"/>
      <c r="FYK23" s="224"/>
      <c r="FYL23" s="225"/>
      <c r="FYM23" s="226"/>
      <c r="FYN23" s="227"/>
      <c r="FYO23" s="228"/>
      <c r="FYP23" s="228"/>
      <c r="FYQ23" s="228"/>
      <c r="FYR23" s="228"/>
      <c r="FYS23" s="228"/>
      <c r="FYT23" s="228"/>
      <c r="FYU23" s="226"/>
      <c r="FYV23" s="226"/>
      <c r="FYW23" s="224"/>
      <c r="FYX23" s="225"/>
      <c r="FYY23" s="226"/>
      <c r="FYZ23" s="227"/>
      <c r="FZA23" s="228"/>
      <c r="FZB23" s="228"/>
      <c r="FZC23" s="228"/>
      <c r="FZD23" s="228"/>
      <c r="FZE23" s="228"/>
      <c r="FZF23" s="228"/>
      <c r="FZG23" s="226"/>
      <c r="FZH23" s="226"/>
      <c r="FZI23" s="224"/>
      <c r="FZJ23" s="225"/>
      <c r="FZK23" s="226"/>
      <c r="FZL23" s="227"/>
      <c r="FZM23" s="228"/>
      <c r="FZN23" s="228"/>
      <c r="FZO23" s="228"/>
      <c r="FZP23" s="228"/>
      <c r="FZQ23" s="228"/>
      <c r="FZR23" s="228"/>
      <c r="FZS23" s="226"/>
      <c r="FZT23" s="226"/>
      <c r="FZU23" s="224"/>
      <c r="FZV23" s="225"/>
      <c r="FZW23" s="226"/>
      <c r="FZX23" s="227"/>
      <c r="FZY23" s="228"/>
      <c r="FZZ23" s="228"/>
      <c r="GAA23" s="228"/>
      <c r="GAB23" s="228"/>
      <c r="GAC23" s="228"/>
      <c r="GAD23" s="228"/>
      <c r="GAE23" s="226"/>
      <c r="GAF23" s="226"/>
      <c r="GAG23" s="224"/>
      <c r="GAH23" s="225"/>
      <c r="GAI23" s="226"/>
      <c r="GAJ23" s="227"/>
      <c r="GAK23" s="228"/>
      <c r="GAL23" s="228"/>
      <c r="GAM23" s="228"/>
      <c r="GAN23" s="228"/>
      <c r="GAO23" s="228"/>
      <c r="GAP23" s="228"/>
      <c r="GAQ23" s="226"/>
      <c r="GAR23" s="226"/>
      <c r="GAS23" s="224"/>
      <c r="GAT23" s="225"/>
      <c r="GAU23" s="226"/>
      <c r="GAV23" s="227"/>
      <c r="GAW23" s="228"/>
      <c r="GAX23" s="228"/>
      <c r="GAY23" s="228"/>
      <c r="GAZ23" s="228"/>
      <c r="GBA23" s="228"/>
      <c r="GBB23" s="228"/>
      <c r="GBC23" s="226"/>
      <c r="GBD23" s="226"/>
      <c r="GBE23" s="224"/>
      <c r="GBF23" s="225"/>
      <c r="GBG23" s="226"/>
      <c r="GBH23" s="227"/>
      <c r="GBI23" s="228"/>
      <c r="GBJ23" s="228"/>
      <c r="GBK23" s="228"/>
      <c r="GBL23" s="228"/>
      <c r="GBM23" s="228"/>
      <c r="GBN23" s="228"/>
      <c r="GBO23" s="226"/>
      <c r="GBP23" s="226"/>
      <c r="GBQ23" s="224"/>
      <c r="GBR23" s="225"/>
      <c r="GBS23" s="226"/>
      <c r="GBT23" s="227"/>
      <c r="GBU23" s="228"/>
      <c r="GBV23" s="228"/>
      <c r="GBW23" s="228"/>
      <c r="GBX23" s="228"/>
      <c r="GBY23" s="228"/>
      <c r="GBZ23" s="228"/>
      <c r="GCA23" s="226"/>
      <c r="GCB23" s="226"/>
      <c r="GCC23" s="224"/>
      <c r="GCD23" s="225"/>
      <c r="GCE23" s="226"/>
      <c r="GCF23" s="227"/>
      <c r="GCG23" s="228"/>
      <c r="GCH23" s="228"/>
      <c r="GCI23" s="228"/>
      <c r="GCJ23" s="228"/>
      <c r="GCK23" s="228"/>
      <c r="GCL23" s="228"/>
      <c r="GCM23" s="226"/>
      <c r="GCN23" s="226"/>
      <c r="GCO23" s="224"/>
      <c r="GCP23" s="225"/>
      <c r="GCQ23" s="226"/>
      <c r="GCR23" s="227"/>
      <c r="GCS23" s="228"/>
      <c r="GCT23" s="228"/>
      <c r="GCU23" s="228"/>
      <c r="GCV23" s="228"/>
      <c r="GCW23" s="228"/>
      <c r="GCX23" s="228"/>
      <c r="GCY23" s="226"/>
      <c r="GCZ23" s="226"/>
      <c r="GDA23" s="224"/>
      <c r="GDB23" s="225"/>
      <c r="GDC23" s="226"/>
      <c r="GDD23" s="227"/>
      <c r="GDE23" s="228"/>
      <c r="GDF23" s="228"/>
      <c r="GDG23" s="228"/>
      <c r="GDH23" s="228"/>
      <c r="GDI23" s="228"/>
      <c r="GDJ23" s="228"/>
      <c r="GDK23" s="226"/>
      <c r="GDL23" s="226"/>
      <c r="GDM23" s="224"/>
      <c r="GDN23" s="225"/>
      <c r="GDO23" s="226"/>
      <c r="GDP23" s="227"/>
      <c r="GDQ23" s="228"/>
      <c r="GDR23" s="228"/>
      <c r="GDS23" s="228"/>
      <c r="GDT23" s="228"/>
      <c r="GDU23" s="228"/>
      <c r="GDV23" s="228"/>
      <c r="GDW23" s="226"/>
      <c r="GDX23" s="226"/>
      <c r="GDY23" s="224"/>
      <c r="GDZ23" s="225"/>
      <c r="GEA23" s="226"/>
      <c r="GEB23" s="227"/>
      <c r="GEC23" s="228"/>
      <c r="GED23" s="228"/>
      <c r="GEE23" s="228"/>
      <c r="GEF23" s="228"/>
      <c r="GEG23" s="228"/>
      <c r="GEH23" s="228"/>
      <c r="GEI23" s="226"/>
      <c r="GEJ23" s="226"/>
      <c r="GEK23" s="224"/>
      <c r="GEL23" s="225"/>
      <c r="GEM23" s="226"/>
      <c r="GEN23" s="227"/>
      <c r="GEO23" s="228"/>
      <c r="GEP23" s="228"/>
      <c r="GEQ23" s="228"/>
      <c r="GER23" s="228"/>
      <c r="GES23" s="228"/>
      <c r="GET23" s="228"/>
      <c r="GEU23" s="226"/>
      <c r="GEV23" s="226"/>
      <c r="GEW23" s="224"/>
      <c r="GEX23" s="225"/>
      <c r="GEY23" s="226"/>
      <c r="GEZ23" s="227"/>
      <c r="GFA23" s="228"/>
      <c r="GFB23" s="228"/>
      <c r="GFC23" s="228"/>
      <c r="GFD23" s="228"/>
      <c r="GFE23" s="228"/>
      <c r="GFF23" s="228"/>
      <c r="GFG23" s="226"/>
      <c r="GFH23" s="226"/>
      <c r="GFI23" s="224"/>
      <c r="GFJ23" s="225"/>
      <c r="GFK23" s="226"/>
      <c r="GFL23" s="227"/>
      <c r="GFM23" s="228"/>
      <c r="GFN23" s="228"/>
      <c r="GFO23" s="228"/>
      <c r="GFP23" s="228"/>
      <c r="GFQ23" s="228"/>
      <c r="GFR23" s="228"/>
      <c r="GFS23" s="226"/>
      <c r="GFT23" s="226"/>
      <c r="GFU23" s="224"/>
      <c r="GFV23" s="225"/>
      <c r="GFW23" s="226"/>
      <c r="GFX23" s="227"/>
      <c r="GFY23" s="228"/>
      <c r="GFZ23" s="228"/>
      <c r="GGA23" s="228"/>
      <c r="GGB23" s="228"/>
      <c r="GGC23" s="228"/>
      <c r="GGD23" s="228"/>
      <c r="GGE23" s="226"/>
      <c r="GGF23" s="226"/>
      <c r="GGG23" s="224"/>
      <c r="GGH23" s="225"/>
      <c r="GGI23" s="226"/>
      <c r="GGJ23" s="227"/>
      <c r="GGK23" s="228"/>
      <c r="GGL23" s="228"/>
      <c r="GGM23" s="228"/>
      <c r="GGN23" s="228"/>
      <c r="GGO23" s="228"/>
      <c r="GGP23" s="228"/>
      <c r="GGQ23" s="226"/>
      <c r="GGR23" s="226"/>
      <c r="GGS23" s="224"/>
      <c r="GGT23" s="225"/>
      <c r="GGU23" s="226"/>
      <c r="GGV23" s="227"/>
      <c r="GGW23" s="228"/>
      <c r="GGX23" s="228"/>
      <c r="GGY23" s="228"/>
      <c r="GGZ23" s="228"/>
      <c r="GHA23" s="228"/>
      <c r="GHB23" s="228"/>
      <c r="GHC23" s="226"/>
      <c r="GHD23" s="226"/>
      <c r="GHE23" s="224"/>
      <c r="GHF23" s="225"/>
      <c r="GHG23" s="226"/>
      <c r="GHH23" s="227"/>
      <c r="GHI23" s="228"/>
      <c r="GHJ23" s="228"/>
      <c r="GHK23" s="228"/>
      <c r="GHL23" s="228"/>
      <c r="GHM23" s="228"/>
      <c r="GHN23" s="228"/>
      <c r="GHO23" s="226"/>
      <c r="GHP23" s="226"/>
      <c r="GHQ23" s="224"/>
      <c r="GHR23" s="225"/>
      <c r="GHS23" s="226"/>
      <c r="GHT23" s="227"/>
      <c r="GHU23" s="228"/>
      <c r="GHV23" s="228"/>
      <c r="GHW23" s="228"/>
      <c r="GHX23" s="228"/>
      <c r="GHY23" s="228"/>
      <c r="GHZ23" s="228"/>
      <c r="GIA23" s="226"/>
      <c r="GIB23" s="226"/>
      <c r="GIC23" s="224"/>
      <c r="GID23" s="225"/>
      <c r="GIE23" s="226"/>
      <c r="GIF23" s="227"/>
      <c r="GIG23" s="228"/>
      <c r="GIH23" s="228"/>
      <c r="GII23" s="228"/>
      <c r="GIJ23" s="228"/>
      <c r="GIK23" s="228"/>
      <c r="GIL23" s="228"/>
      <c r="GIM23" s="226"/>
      <c r="GIN23" s="226"/>
      <c r="GIO23" s="224"/>
      <c r="GIP23" s="225"/>
      <c r="GIQ23" s="226"/>
      <c r="GIR23" s="227"/>
      <c r="GIS23" s="228"/>
      <c r="GIT23" s="228"/>
      <c r="GIU23" s="228"/>
      <c r="GIV23" s="228"/>
      <c r="GIW23" s="228"/>
      <c r="GIX23" s="228"/>
      <c r="GIY23" s="226"/>
      <c r="GIZ23" s="226"/>
      <c r="GJA23" s="224"/>
      <c r="GJB23" s="225"/>
      <c r="GJC23" s="226"/>
      <c r="GJD23" s="227"/>
      <c r="GJE23" s="228"/>
      <c r="GJF23" s="228"/>
      <c r="GJG23" s="228"/>
      <c r="GJH23" s="228"/>
      <c r="GJI23" s="228"/>
      <c r="GJJ23" s="228"/>
      <c r="GJK23" s="226"/>
      <c r="GJL23" s="226"/>
      <c r="GJM23" s="224"/>
      <c r="GJN23" s="225"/>
      <c r="GJO23" s="226"/>
      <c r="GJP23" s="227"/>
      <c r="GJQ23" s="228"/>
      <c r="GJR23" s="228"/>
      <c r="GJS23" s="228"/>
      <c r="GJT23" s="228"/>
      <c r="GJU23" s="228"/>
      <c r="GJV23" s="228"/>
      <c r="GJW23" s="226"/>
      <c r="GJX23" s="226"/>
      <c r="GJY23" s="224"/>
      <c r="GJZ23" s="225"/>
      <c r="GKA23" s="226"/>
      <c r="GKB23" s="227"/>
      <c r="GKC23" s="228"/>
      <c r="GKD23" s="228"/>
      <c r="GKE23" s="228"/>
      <c r="GKF23" s="228"/>
      <c r="GKG23" s="228"/>
      <c r="GKH23" s="228"/>
      <c r="GKI23" s="226"/>
      <c r="GKJ23" s="226"/>
      <c r="GKK23" s="224"/>
      <c r="GKL23" s="225"/>
      <c r="GKM23" s="226"/>
      <c r="GKN23" s="227"/>
      <c r="GKO23" s="228"/>
      <c r="GKP23" s="228"/>
      <c r="GKQ23" s="228"/>
      <c r="GKR23" s="228"/>
      <c r="GKS23" s="228"/>
      <c r="GKT23" s="228"/>
      <c r="GKU23" s="226"/>
      <c r="GKV23" s="226"/>
      <c r="GKW23" s="224"/>
      <c r="GKX23" s="225"/>
      <c r="GKY23" s="226"/>
      <c r="GKZ23" s="227"/>
      <c r="GLA23" s="228"/>
      <c r="GLB23" s="228"/>
      <c r="GLC23" s="228"/>
      <c r="GLD23" s="228"/>
      <c r="GLE23" s="228"/>
      <c r="GLF23" s="228"/>
      <c r="GLG23" s="226"/>
      <c r="GLH23" s="226"/>
      <c r="GLI23" s="224"/>
      <c r="GLJ23" s="225"/>
      <c r="GLK23" s="226"/>
      <c r="GLL23" s="227"/>
      <c r="GLM23" s="228"/>
      <c r="GLN23" s="228"/>
      <c r="GLO23" s="228"/>
      <c r="GLP23" s="228"/>
      <c r="GLQ23" s="228"/>
      <c r="GLR23" s="228"/>
      <c r="GLS23" s="226"/>
      <c r="GLT23" s="226"/>
      <c r="GLU23" s="224"/>
      <c r="GLV23" s="225"/>
      <c r="GLW23" s="226"/>
      <c r="GLX23" s="227"/>
      <c r="GLY23" s="228"/>
      <c r="GLZ23" s="228"/>
      <c r="GMA23" s="228"/>
      <c r="GMB23" s="228"/>
      <c r="GMC23" s="228"/>
      <c r="GMD23" s="228"/>
      <c r="GME23" s="226"/>
      <c r="GMF23" s="226"/>
      <c r="GMG23" s="224"/>
      <c r="GMH23" s="225"/>
      <c r="GMI23" s="226"/>
      <c r="GMJ23" s="227"/>
      <c r="GMK23" s="228"/>
      <c r="GML23" s="228"/>
      <c r="GMM23" s="228"/>
      <c r="GMN23" s="228"/>
      <c r="GMO23" s="228"/>
      <c r="GMP23" s="228"/>
      <c r="GMQ23" s="226"/>
      <c r="GMR23" s="226"/>
      <c r="GMS23" s="224"/>
      <c r="GMT23" s="225"/>
      <c r="GMU23" s="226"/>
      <c r="GMV23" s="227"/>
      <c r="GMW23" s="228"/>
      <c r="GMX23" s="228"/>
      <c r="GMY23" s="228"/>
      <c r="GMZ23" s="228"/>
      <c r="GNA23" s="228"/>
      <c r="GNB23" s="228"/>
      <c r="GNC23" s="226"/>
      <c r="GND23" s="226"/>
      <c r="GNE23" s="224"/>
      <c r="GNF23" s="225"/>
      <c r="GNG23" s="226"/>
      <c r="GNH23" s="227"/>
      <c r="GNI23" s="228"/>
      <c r="GNJ23" s="228"/>
      <c r="GNK23" s="228"/>
      <c r="GNL23" s="228"/>
      <c r="GNM23" s="228"/>
      <c r="GNN23" s="228"/>
      <c r="GNO23" s="226"/>
      <c r="GNP23" s="226"/>
      <c r="GNQ23" s="224"/>
      <c r="GNR23" s="225"/>
      <c r="GNS23" s="226"/>
      <c r="GNT23" s="227"/>
      <c r="GNU23" s="228"/>
      <c r="GNV23" s="228"/>
      <c r="GNW23" s="228"/>
      <c r="GNX23" s="228"/>
      <c r="GNY23" s="228"/>
      <c r="GNZ23" s="228"/>
      <c r="GOA23" s="226"/>
      <c r="GOB23" s="226"/>
      <c r="GOC23" s="224"/>
      <c r="GOD23" s="225"/>
      <c r="GOE23" s="226"/>
      <c r="GOF23" s="227"/>
      <c r="GOG23" s="228"/>
      <c r="GOH23" s="228"/>
      <c r="GOI23" s="228"/>
      <c r="GOJ23" s="228"/>
      <c r="GOK23" s="228"/>
      <c r="GOL23" s="228"/>
      <c r="GOM23" s="226"/>
      <c r="GON23" s="226"/>
      <c r="GOO23" s="224"/>
      <c r="GOP23" s="225"/>
      <c r="GOQ23" s="226"/>
      <c r="GOR23" s="227"/>
      <c r="GOS23" s="228"/>
      <c r="GOT23" s="228"/>
      <c r="GOU23" s="228"/>
      <c r="GOV23" s="228"/>
      <c r="GOW23" s="228"/>
      <c r="GOX23" s="228"/>
      <c r="GOY23" s="226"/>
      <c r="GOZ23" s="226"/>
      <c r="GPA23" s="224"/>
      <c r="GPB23" s="225"/>
      <c r="GPC23" s="226"/>
      <c r="GPD23" s="227"/>
      <c r="GPE23" s="228"/>
      <c r="GPF23" s="228"/>
      <c r="GPG23" s="228"/>
      <c r="GPH23" s="228"/>
      <c r="GPI23" s="228"/>
      <c r="GPJ23" s="228"/>
      <c r="GPK23" s="226"/>
      <c r="GPL23" s="226"/>
      <c r="GPM23" s="224"/>
      <c r="GPN23" s="225"/>
      <c r="GPO23" s="226"/>
      <c r="GPP23" s="227"/>
      <c r="GPQ23" s="228"/>
      <c r="GPR23" s="228"/>
      <c r="GPS23" s="228"/>
      <c r="GPT23" s="228"/>
      <c r="GPU23" s="228"/>
      <c r="GPV23" s="228"/>
      <c r="GPW23" s="226"/>
      <c r="GPX23" s="226"/>
      <c r="GPY23" s="224"/>
      <c r="GPZ23" s="225"/>
      <c r="GQA23" s="226"/>
      <c r="GQB23" s="227"/>
      <c r="GQC23" s="228"/>
      <c r="GQD23" s="228"/>
      <c r="GQE23" s="228"/>
      <c r="GQF23" s="228"/>
      <c r="GQG23" s="228"/>
      <c r="GQH23" s="228"/>
      <c r="GQI23" s="226"/>
      <c r="GQJ23" s="226"/>
      <c r="GQK23" s="224"/>
      <c r="GQL23" s="225"/>
      <c r="GQM23" s="226"/>
      <c r="GQN23" s="227"/>
      <c r="GQO23" s="228"/>
      <c r="GQP23" s="228"/>
      <c r="GQQ23" s="228"/>
      <c r="GQR23" s="228"/>
      <c r="GQS23" s="228"/>
      <c r="GQT23" s="228"/>
      <c r="GQU23" s="226"/>
      <c r="GQV23" s="226"/>
      <c r="GQW23" s="224"/>
      <c r="GQX23" s="225"/>
      <c r="GQY23" s="226"/>
      <c r="GQZ23" s="227"/>
      <c r="GRA23" s="228"/>
      <c r="GRB23" s="228"/>
      <c r="GRC23" s="228"/>
      <c r="GRD23" s="228"/>
      <c r="GRE23" s="228"/>
      <c r="GRF23" s="228"/>
      <c r="GRG23" s="226"/>
      <c r="GRH23" s="226"/>
      <c r="GRI23" s="224"/>
      <c r="GRJ23" s="225"/>
      <c r="GRK23" s="226"/>
      <c r="GRL23" s="227"/>
      <c r="GRM23" s="228"/>
      <c r="GRN23" s="228"/>
      <c r="GRO23" s="228"/>
      <c r="GRP23" s="228"/>
      <c r="GRQ23" s="228"/>
      <c r="GRR23" s="228"/>
      <c r="GRS23" s="226"/>
      <c r="GRT23" s="226"/>
      <c r="GRU23" s="224"/>
      <c r="GRV23" s="225"/>
      <c r="GRW23" s="226"/>
      <c r="GRX23" s="227"/>
      <c r="GRY23" s="228"/>
      <c r="GRZ23" s="228"/>
      <c r="GSA23" s="228"/>
      <c r="GSB23" s="228"/>
      <c r="GSC23" s="228"/>
      <c r="GSD23" s="228"/>
      <c r="GSE23" s="226"/>
      <c r="GSF23" s="226"/>
      <c r="GSG23" s="224"/>
      <c r="GSH23" s="225"/>
      <c r="GSI23" s="226"/>
      <c r="GSJ23" s="227"/>
      <c r="GSK23" s="228"/>
      <c r="GSL23" s="228"/>
      <c r="GSM23" s="228"/>
      <c r="GSN23" s="228"/>
      <c r="GSO23" s="228"/>
      <c r="GSP23" s="228"/>
      <c r="GSQ23" s="226"/>
      <c r="GSR23" s="226"/>
      <c r="GSS23" s="224"/>
      <c r="GST23" s="225"/>
      <c r="GSU23" s="226"/>
      <c r="GSV23" s="227"/>
      <c r="GSW23" s="228"/>
      <c r="GSX23" s="228"/>
      <c r="GSY23" s="228"/>
      <c r="GSZ23" s="228"/>
      <c r="GTA23" s="228"/>
      <c r="GTB23" s="228"/>
      <c r="GTC23" s="226"/>
      <c r="GTD23" s="226"/>
      <c r="GTE23" s="224"/>
      <c r="GTF23" s="225"/>
      <c r="GTG23" s="226"/>
      <c r="GTH23" s="227"/>
      <c r="GTI23" s="228"/>
      <c r="GTJ23" s="228"/>
      <c r="GTK23" s="228"/>
      <c r="GTL23" s="228"/>
      <c r="GTM23" s="228"/>
      <c r="GTN23" s="228"/>
      <c r="GTO23" s="226"/>
      <c r="GTP23" s="226"/>
      <c r="GTQ23" s="224"/>
      <c r="GTR23" s="225"/>
      <c r="GTS23" s="226"/>
      <c r="GTT23" s="227"/>
      <c r="GTU23" s="228"/>
      <c r="GTV23" s="228"/>
      <c r="GTW23" s="228"/>
      <c r="GTX23" s="228"/>
      <c r="GTY23" s="228"/>
      <c r="GTZ23" s="228"/>
      <c r="GUA23" s="226"/>
      <c r="GUB23" s="226"/>
      <c r="GUC23" s="224"/>
      <c r="GUD23" s="225"/>
      <c r="GUE23" s="226"/>
      <c r="GUF23" s="227"/>
      <c r="GUG23" s="228"/>
      <c r="GUH23" s="228"/>
      <c r="GUI23" s="228"/>
      <c r="GUJ23" s="228"/>
      <c r="GUK23" s="228"/>
      <c r="GUL23" s="228"/>
      <c r="GUM23" s="226"/>
      <c r="GUN23" s="226"/>
      <c r="GUO23" s="224"/>
      <c r="GUP23" s="225"/>
      <c r="GUQ23" s="226"/>
      <c r="GUR23" s="227"/>
      <c r="GUS23" s="228"/>
      <c r="GUT23" s="228"/>
      <c r="GUU23" s="228"/>
      <c r="GUV23" s="228"/>
      <c r="GUW23" s="228"/>
      <c r="GUX23" s="228"/>
      <c r="GUY23" s="226"/>
      <c r="GUZ23" s="226"/>
      <c r="GVA23" s="224"/>
      <c r="GVB23" s="225"/>
      <c r="GVC23" s="226"/>
      <c r="GVD23" s="227"/>
      <c r="GVE23" s="228"/>
      <c r="GVF23" s="228"/>
      <c r="GVG23" s="228"/>
      <c r="GVH23" s="228"/>
      <c r="GVI23" s="228"/>
      <c r="GVJ23" s="228"/>
      <c r="GVK23" s="226"/>
      <c r="GVL23" s="226"/>
      <c r="GVM23" s="224"/>
      <c r="GVN23" s="225"/>
      <c r="GVO23" s="226"/>
      <c r="GVP23" s="227"/>
      <c r="GVQ23" s="228"/>
      <c r="GVR23" s="228"/>
      <c r="GVS23" s="228"/>
      <c r="GVT23" s="228"/>
      <c r="GVU23" s="228"/>
      <c r="GVV23" s="228"/>
      <c r="GVW23" s="226"/>
      <c r="GVX23" s="226"/>
      <c r="GVY23" s="224"/>
      <c r="GVZ23" s="225"/>
      <c r="GWA23" s="226"/>
      <c r="GWB23" s="227"/>
      <c r="GWC23" s="228"/>
      <c r="GWD23" s="228"/>
      <c r="GWE23" s="228"/>
      <c r="GWF23" s="228"/>
      <c r="GWG23" s="228"/>
      <c r="GWH23" s="228"/>
      <c r="GWI23" s="226"/>
      <c r="GWJ23" s="226"/>
      <c r="GWK23" s="224"/>
      <c r="GWL23" s="225"/>
      <c r="GWM23" s="226"/>
      <c r="GWN23" s="227"/>
      <c r="GWO23" s="228"/>
      <c r="GWP23" s="228"/>
      <c r="GWQ23" s="228"/>
      <c r="GWR23" s="228"/>
      <c r="GWS23" s="228"/>
      <c r="GWT23" s="228"/>
      <c r="GWU23" s="226"/>
      <c r="GWV23" s="226"/>
      <c r="GWW23" s="224"/>
      <c r="GWX23" s="225"/>
      <c r="GWY23" s="226"/>
      <c r="GWZ23" s="227"/>
      <c r="GXA23" s="228"/>
      <c r="GXB23" s="228"/>
      <c r="GXC23" s="228"/>
      <c r="GXD23" s="228"/>
      <c r="GXE23" s="228"/>
      <c r="GXF23" s="228"/>
      <c r="GXG23" s="226"/>
      <c r="GXH23" s="226"/>
      <c r="GXI23" s="224"/>
      <c r="GXJ23" s="225"/>
      <c r="GXK23" s="226"/>
      <c r="GXL23" s="227"/>
      <c r="GXM23" s="228"/>
      <c r="GXN23" s="228"/>
      <c r="GXO23" s="228"/>
      <c r="GXP23" s="228"/>
      <c r="GXQ23" s="228"/>
      <c r="GXR23" s="228"/>
      <c r="GXS23" s="226"/>
      <c r="GXT23" s="226"/>
      <c r="GXU23" s="224"/>
      <c r="GXV23" s="225"/>
      <c r="GXW23" s="226"/>
      <c r="GXX23" s="227"/>
      <c r="GXY23" s="228"/>
      <c r="GXZ23" s="228"/>
      <c r="GYA23" s="228"/>
      <c r="GYB23" s="228"/>
      <c r="GYC23" s="228"/>
      <c r="GYD23" s="228"/>
      <c r="GYE23" s="226"/>
      <c r="GYF23" s="226"/>
      <c r="GYG23" s="224"/>
      <c r="GYH23" s="225"/>
      <c r="GYI23" s="226"/>
      <c r="GYJ23" s="227"/>
      <c r="GYK23" s="228"/>
      <c r="GYL23" s="228"/>
      <c r="GYM23" s="228"/>
      <c r="GYN23" s="228"/>
      <c r="GYO23" s="228"/>
      <c r="GYP23" s="228"/>
      <c r="GYQ23" s="226"/>
      <c r="GYR23" s="226"/>
      <c r="GYS23" s="224"/>
      <c r="GYT23" s="225"/>
      <c r="GYU23" s="226"/>
      <c r="GYV23" s="227"/>
      <c r="GYW23" s="228"/>
      <c r="GYX23" s="228"/>
      <c r="GYY23" s="228"/>
      <c r="GYZ23" s="228"/>
      <c r="GZA23" s="228"/>
      <c r="GZB23" s="228"/>
      <c r="GZC23" s="226"/>
      <c r="GZD23" s="226"/>
      <c r="GZE23" s="224"/>
      <c r="GZF23" s="225"/>
      <c r="GZG23" s="226"/>
      <c r="GZH23" s="227"/>
      <c r="GZI23" s="228"/>
      <c r="GZJ23" s="228"/>
      <c r="GZK23" s="228"/>
      <c r="GZL23" s="228"/>
      <c r="GZM23" s="228"/>
      <c r="GZN23" s="228"/>
      <c r="GZO23" s="226"/>
      <c r="GZP23" s="226"/>
      <c r="GZQ23" s="224"/>
      <c r="GZR23" s="225"/>
      <c r="GZS23" s="226"/>
      <c r="GZT23" s="227"/>
      <c r="GZU23" s="228"/>
      <c r="GZV23" s="228"/>
      <c r="GZW23" s="228"/>
      <c r="GZX23" s="228"/>
      <c r="GZY23" s="228"/>
      <c r="GZZ23" s="228"/>
      <c r="HAA23" s="226"/>
      <c r="HAB23" s="226"/>
      <c r="HAC23" s="224"/>
      <c r="HAD23" s="225"/>
      <c r="HAE23" s="226"/>
      <c r="HAF23" s="227"/>
      <c r="HAG23" s="228"/>
      <c r="HAH23" s="228"/>
      <c r="HAI23" s="228"/>
      <c r="HAJ23" s="228"/>
      <c r="HAK23" s="228"/>
      <c r="HAL23" s="228"/>
      <c r="HAM23" s="226"/>
      <c r="HAN23" s="226"/>
      <c r="HAO23" s="224"/>
      <c r="HAP23" s="225"/>
      <c r="HAQ23" s="226"/>
      <c r="HAR23" s="227"/>
      <c r="HAS23" s="228"/>
      <c r="HAT23" s="228"/>
      <c r="HAU23" s="228"/>
      <c r="HAV23" s="228"/>
      <c r="HAW23" s="228"/>
      <c r="HAX23" s="228"/>
      <c r="HAY23" s="226"/>
      <c r="HAZ23" s="226"/>
      <c r="HBA23" s="224"/>
      <c r="HBB23" s="225"/>
      <c r="HBC23" s="226"/>
      <c r="HBD23" s="227"/>
      <c r="HBE23" s="228"/>
      <c r="HBF23" s="228"/>
      <c r="HBG23" s="228"/>
      <c r="HBH23" s="228"/>
      <c r="HBI23" s="228"/>
      <c r="HBJ23" s="228"/>
      <c r="HBK23" s="226"/>
      <c r="HBL23" s="226"/>
      <c r="HBM23" s="224"/>
      <c r="HBN23" s="225"/>
      <c r="HBO23" s="226"/>
      <c r="HBP23" s="227"/>
      <c r="HBQ23" s="228"/>
      <c r="HBR23" s="228"/>
      <c r="HBS23" s="228"/>
      <c r="HBT23" s="228"/>
      <c r="HBU23" s="228"/>
      <c r="HBV23" s="228"/>
      <c r="HBW23" s="226"/>
      <c r="HBX23" s="226"/>
      <c r="HBY23" s="224"/>
      <c r="HBZ23" s="225"/>
      <c r="HCA23" s="226"/>
      <c r="HCB23" s="227"/>
      <c r="HCC23" s="228"/>
      <c r="HCD23" s="228"/>
      <c r="HCE23" s="228"/>
      <c r="HCF23" s="228"/>
      <c r="HCG23" s="228"/>
      <c r="HCH23" s="228"/>
      <c r="HCI23" s="226"/>
      <c r="HCJ23" s="226"/>
      <c r="HCK23" s="224"/>
      <c r="HCL23" s="225"/>
      <c r="HCM23" s="226"/>
      <c r="HCN23" s="227"/>
      <c r="HCO23" s="228"/>
      <c r="HCP23" s="228"/>
      <c r="HCQ23" s="228"/>
      <c r="HCR23" s="228"/>
      <c r="HCS23" s="228"/>
      <c r="HCT23" s="228"/>
      <c r="HCU23" s="226"/>
      <c r="HCV23" s="226"/>
      <c r="HCW23" s="224"/>
      <c r="HCX23" s="225"/>
      <c r="HCY23" s="226"/>
      <c r="HCZ23" s="227"/>
      <c r="HDA23" s="228"/>
      <c r="HDB23" s="228"/>
      <c r="HDC23" s="228"/>
      <c r="HDD23" s="228"/>
      <c r="HDE23" s="228"/>
      <c r="HDF23" s="228"/>
      <c r="HDG23" s="226"/>
      <c r="HDH23" s="226"/>
      <c r="HDI23" s="224"/>
      <c r="HDJ23" s="225"/>
      <c r="HDK23" s="226"/>
      <c r="HDL23" s="227"/>
      <c r="HDM23" s="228"/>
      <c r="HDN23" s="228"/>
      <c r="HDO23" s="228"/>
      <c r="HDP23" s="228"/>
      <c r="HDQ23" s="228"/>
      <c r="HDR23" s="228"/>
      <c r="HDS23" s="226"/>
      <c r="HDT23" s="226"/>
      <c r="HDU23" s="224"/>
      <c r="HDV23" s="225"/>
      <c r="HDW23" s="226"/>
      <c r="HDX23" s="227"/>
      <c r="HDY23" s="228"/>
      <c r="HDZ23" s="228"/>
      <c r="HEA23" s="228"/>
      <c r="HEB23" s="228"/>
      <c r="HEC23" s="228"/>
      <c r="HED23" s="228"/>
      <c r="HEE23" s="226"/>
      <c r="HEF23" s="226"/>
      <c r="HEG23" s="224"/>
      <c r="HEH23" s="225"/>
      <c r="HEI23" s="226"/>
      <c r="HEJ23" s="227"/>
      <c r="HEK23" s="228"/>
      <c r="HEL23" s="228"/>
      <c r="HEM23" s="228"/>
      <c r="HEN23" s="228"/>
      <c r="HEO23" s="228"/>
      <c r="HEP23" s="228"/>
      <c r="HEQ23" s="226"/>
      <c r="HER23" s="226"/>
      <c r="HES23" s="224"/>
      <c r="HET23" s="225"/>
      <c r="HEU23" s="226"/>
      <c r="HEV23" s="227"/>
      <c r="HEW23" s="228"/>
      <c r="HEX23" s="228"/>
      <c r="HEY23" s="228"/>
      <c r="HEZ23" s="228"/>
      <c r="HFA23" s="228"/>
      <c r="HFB23" s="228"/>
      <c r="HFC23" s="226"/>
      <c r="HFD23" s="226"/>
      <c r="HFE23" s="224"/>
      <c r="HFF23" s="225"/>
      <c r="HFG23" s="226"/>
      <c r="HFH23" s="227"/>
      <c r="HFI23" s="228"/>
      <c r="HFJ23" s="228"/>
      <c r="HFK23" s="228"/>
      <c r="HFL23" s="228"/>
      <c r="HFM23" s="228"/>
      <c r="HFN23" s="228"/>
      <c r="HFO23" s="226"/>
      <c r="HFP23" s="226"/>
      <c r="HFQ23" s="224"/>
      <c r="HFR23" s="225"/>
      <c r="HFS23" s="226"/>
      <c r="HFT23" s="227"/>
      <c r="HFU23" s="228"/>
      <c r="HFV23" s="228"/>
      <c r="HFW23" s="228"/>
      <c r="HFX23" s="228"/>
      <c r="HFY23" s="228"/>
      <c r="HFZ23" s="228"/>
      <c r="HGA23" s="226"/>
      <c r="HGB23" s="226"/>
      <c r="HGC23" s="224"/>
      <c r="HGD23" s="225"/>
      <c r="HGE23" s="226"/>
      <c r="HGF23" s="227"/>
      <c r="HGG23" s="228"/>
      <c r="HGH23" s="228"/>
      <c r="HGI23" s="228"/>
      <c r="HGJ23" s="228"/>
      <c r="HGK23" s="228"/>
      <c r="HGL23" s="228"/>
      <c r="HGM23" s="226"/>
      <c r="HGN23" s="226"/>
      <c r="HGO23" s="224"/>
      <c r="HGP23" s="225"/>
      <c r="HGQ23" s="226"/>
      <c r="HGR23" s="227"/>
      <c r="HGS23" s="228"/>
      <c r="HGT23" s="228"/>
      <c r="HGU23" s="228"/>
      <c r="HGV23" s="228"/>
      <c r="HGW23" s="228"/>
      <c r="HGX23" s="228"/>
      <c r="HGY23" s="226"/>
      <c r="HGZ23" s="226"/>
      <c r="HHA23" s="224"/>
      <c r="HHB23" s="225"/>
      <c r="HHC23" s="226"/>
      <c r="HHD23" s="227"/>
      <c r="HHE23" s="228"/>
      <c r="HHF23" s="228"/>
      <c r="HHG23" s="228"/>
      <c r="HHH23" s="228"/>
      <c r="HHI23" s="228"/>
      <c r="HHJ23" s="228"/>
      <c r="HHK23" s="226"/>
      <c r="HHL23" s="226"/>
      <c r="HHM23" s="224"/>
      <c r="HHN23" s="225"/>
      <c r="HHO23" s="226"/>
      <c r="HHP23" s="227"/>
      <c r="HHQ23" s="228"/>
      <c r="HHR23" s="228"/>
      <c r="HHS23" s="228"/>
      <c r="HHT23" s="228"/>
      <c r="HHU23" s="228"/>
      <c r="HHV23" s="228"/>
      <c r="HHW23" s="226"/>
      <c r="HHX23" s="226"/>
      <c r="HHY23" s="224"/>
      <c r="HHZ23" s="225"/>
      <c r="HIA23" s="226"/>
      <c r="HIB23" s="227"/>
      <c r="HIC23" s="228"/>
      <c r="HID23" s="228"/>
      <c r="HIE23" s="228"/>
      <c r="HIF23" s="228"/>
      <c r="HIG23" s="228"/>
      <c r="HIH23" s="228"/>
      <c r="HII23" s="226"/>
      <c r="HIJ23" s="226"/>
      <c r="HIK23" s="224"/>
      <c r="HIL23" s="225"/>
      <c r="HIM23" s="226"/>
      <c r="HIN23" s="227"/>
      <c r="HIO23" s="228"/>
      <c r="HIP23" s="228"/>
      <c r="HIQ23" s="228"/>
      <c r="HIR23" s="228"/>
      <c r="HIS23" s="228"/>
      <c r="HIT23" s="228"/>
      <c r="HIU23" s="226"/>
      <c r="HIV23" s="226"/>
      <c r="HIW23" s="224"/>
      <c r="HIX23" s="225"/>
      <c r="HIY23" s="226"/>
      <c r="HIZ23" s="227"/>
      <c r="HJA23" s="228"/>
      <c r="HJB23" s="228"/>
      <c r="HJC23" s="228"/>
      <c r="HJD23" s="228"/>
      <c r="HJE23" s="228"/>
      <c r="HJF23" s="228"/>
      <c r="HJG23" s="226"/>
      <c r="HJH23" s="226"/>
      <c r="HJI23" s="224"/>
      <c r="HJJ23" s="225"/>
      <c r="HJK23" s="226"/>
      <c r="HJL23" s="227"/>
      <c r="HJM23" s="228"/>
      <c r="HJN23" s="228"/>
      <c r="HJO23" s="228"/>
      <c r="HJP23" s="228"/>
      <c r="HJQ23" s="228"/>
      <c r="HJR23" s="228"/>
      <c r="HJS23" s="226"/>
      <c r="HJT23" s="226"/>
      <c r="HJU23" s="224"/>
      <c r="HJV23" s="225"/>
      <c r="HJW23" s="226"/>
      <c r="HJX23" s="227"/>
      <c r="HJY23" s="228"/>
      <c r="HJZ23" s="228"/>
      <c r="HKA23" s="228"/>
      <c r="HKB23" s="228"/>
      <c r="HKC23" s="228"/>
      <c r="HKD23" s="228"/>
      <c r="HKE23" s="226"/>
      <c r="HKF23" s="226"/>
      <c r="HKG23" s="224"/>
      <c r="HKH23" s="225"/>
      <c r="HKI23" s="226"/>
      <c r="HKJ23" s="227"/>
      <c r="HKK23" s="228"/>
      <c r="HKL23" s="228"/>
      <c r="HKM23" s="228"/>
      <c r="HKN23" s="228"/>
      <c r="HKO23" s="228"/>
      <c r="HKP23" s="228"/>
      <c r="HKQ23" s="226"/>
      <c r="HKR23" s="226"/>
      <c r="HKS23" s="224"/>
      <c r="HKT23" s="225"/>
      <c r="HKU23" s="226"/>
      <c r="HKV23" s="227"/>
      <c r="HKW23" s="228"/>
      <c r="HKX23" s="228"/>
      <c r="HKY23" s="228"/>
      <c r="HKZ23" s="228"/>
      <c r="HLA23" s="228"/>
      <c r="HLB23" s="228"/>
      <c r="HLC23" s="226"/>
      <c r="HLD23" s="226"/>
      <c r="HLE23" s="224"/>
      <c r="HLF23" s="225"/>
      <c r="HLG23" s="226"/>
      <c r="HLH23" s="227"/>
      <c r="HLI23" s="228"/>
      <c r="HLJ23" s="228"/>
      <c r="HLK23" s="228"/>
      <c r="HLL23" s="228"/>
      <c r="HLM23" s="228"/>
      <c r="HLN23" s="228"/>
      <c r="HLO23" s="226"/>
      <c r="HLP23" s="226"/>
      <c r="HLQ23" s="224"/>
      <c r="HLR23" s="225"/>
      <c r="HLS23" s="226"/>
      <c r="HLT23" s="227"/>
      <c r="HLU23" s="228"/>
      <c r="HLV23" s="228"/>
      <c r="HLW23" s="228"/>
      <c r="HLX23" s="228"/>
      <c r="HLY23" s="228"/>
      <c r="HLZ23" s="228"/>
      <c r="HMA23" s="226"/>
      <c r="HMB23" s="226"/>
      <c r="HMC23" s="224"/>
      <c r="HMD23" s="225"/>
      <c r="HME23" s="226"/>
      <c r="HMF23" s="227"/>
      <c r="HMG23" s="228"/>
      <c r="HMH23" s="228"/>
      <c r="HMI23" s="228"/>
      <c r="HMJ23" s="228"/>
      <c r="HMK23" s="228"/>
      <c r="HML23" s="228"/>
      <c r="HMM23" s="226"/>
      <c r="HMN23" s="226"/>
      <c r="HMO23" s="224"/>
      <c r="HMP23" s="225"/>
      <c r="HMQ23" s="226"/>
      <c r="HMR23" s="227"/>
      <c r="HMS23" s="228"/>
      <c r="HMT23" s="228"/>
      <c r="HMU23" s="228"/>
      <c r="HMV23" s="228"/>
      <c r="HMW23" s="228"/>
      <c r="HMX23" s="228"/>
      <c r="HMY23" s="226"/>
      <c r="HMZ23" s="226"/>
      <c r="HNA23" s="224"/>
      <c r="HNB23" s="225"/>
      <c r="HNC23" s="226"/>
      <c r="HND23" s="227"/>
      <c r="HNE23" s="228"/>
      <c r="HNF23" s="228"/>
      <c r="HNG23" s="228"/>
      <c r="HNH23" s="228"/>
      <c r="HNI23" s="228"/>
      <c r="HNJ23" s="228"/>
      <c r="HNK23" s="226"/>
      <c r="HNL23" s="226"/>
      <c r="HNM23" s="224"/>
      <c r="HNN23" s="225"/>
      <c r="HNO23" s="226"/>
      <c r="HNP23" s="227"/>
      <c r="HNQ23" s="228"/>
      <c r="HNR23" s="228"/>
      <c r="HNS23" s="228"/>
      <c r="HNT23" s="228"/>
      <c r="HNU23" s="228"/>
      <c r="HNV23" s="228"/>
      <c r="HNW23" s="226"/>
      <c r="HNX23" s="226"/>
      <c r="HNY23" s="224"/>
      <c r="HNZ23" s="225"/>
      <c r="HOA23" s="226"/>
      <c r="HOB23" s="227"/>
      <c r="HOC23" s="228"/>
      <c r="HOD23" s="228"/>
      <c r="HOE23" s="228"/>
      <c r="HOF23" s="228"/>
      <c r="HOG23" s="228"/>
      <c r="HOH23" s="228"/>
      <c r="HOI23" s="226"/>
      <c r="HOJ23" s="226"/>
      <c r="HOK23" s="224"/>
      <c r="HOL23" s="225"/>
      <c r="HOM23" s="226"/>
      <c r="HON23" s="227"/>
      <c r="HOO23" s="228"/>
      <c r="HOP23" s="228"/>
      <c r="HOQ23" s="228"/>
      <c r="HOR23" s="228"/>
      <c r="HOS23" s="228"/>
      <c r="HOT23" s="228"/>
      <c r="HOU23" s="226"/>
      <c r="HOV23" s="226"/>
      <c r="HOW23" s="224"/>
      <c r="HOX23" s="225"/>
      <c r="HOY23" s="226"/>
      <c r="HOZ23" s="227"/>
      <c r="HPA23" s="228"/>
      <c r="HPB23" s="228"/>
      <c r="HPC23" s="228"/>
      <c r="HPD23" s="228"/>
      <c r="HPE23" s="228"/>
      <c r="HPF23" s="228"/>
      <c r="HPG23" s="226"/>
      <c r="HPH23" s="226"/>
      <c r="HPI23" s="224"/>
      <c r="HPJ23" s="225"/>
      <c r="HPK23" s="226"/>
      <c r="HPL23" s="227"/>
      <c r="HPM23" s="228"/>
      <c r="HPN23" s="228"/>
      <c r="HPO23" s="228"/>
      <c r="HPP23" s="228"/>
      <c r="HPQ23" s="228"/>
      <c r="HPR23" s="228"/>
      <c r="HPS23" s="226"/>
      <c r="HPT23" s="226"/>
      <c r="HPU23" s="224"/>
      <c r="HPV23" s="225"/>
      <c r="HPW23" s="226"/>
      <c r="HPX23" s="227"/>
      <c r="HPY23" s="228"/>
      <c r="HPZ23" s="228"/>
      <c r="HQA23" s="228"/>
      <c r="HQB23" s="228"/>
      <c r="HQC23" s="228"/>
      <c r="HQD23" s="228"/>
      <c r="HQE23" s="226"/>
      <c r="HQF23" s="226"/>
      <c r="HQG23" s="224"/>
      <c r="HQH23" s="225"/>
      <c r="HQI23" s="226"/>
      <c r="HQJ23" s="227"/>
      <c r="HQK23" s="228"/>
      <c r="HQL23" s="228"/>
      <c r="HQM23" s="228"/>
      <c r="HQN23" s="228"/>
      <c r="HQO23" s="228"/>
      <c r="HQP23" s="228"/>
      <c r="HQQ23" s="226"/>
      <c r="HQR23" s="226"/>
      <c r="HQS23" s="224"/>
      <c r="HQT23" s="225"/>
      <c r="HQU23" s="226"/>
      <c r="HQV23" s="227"/>
      <c r="HQW23" s="228"/>
      <c r="HQX23" s="228"/>
      <c r="HQY23" s="228"/>
      <c r="HQZ23" s="228"/>
      <c r="HRA23" s="228"/>
      <c r="HRB23" s="228"/>
      <c r="HRC23" s="226"/>
      <c r="HRD23" s="226"/>
      <c r="HRE23" s="224"/>
      <c r="HRF23" s="225"/>
      <c r="HRG23" s="226"/>
      <c r="HRH23" s="227"/>
      <c r="HRI23" s="228"/>
      <c r="HRJ23" s="228"/>
      <c r="HRK23" s="228"/>
      <c r="HRL23" s="228"/>
      <c r="HRM23" s="228"/>
      <c r="HRN23" s="228"/>
      <c r="HRO23" s="226"/>
      <c r="HRP23" s="226"/>
      <c r="HRQ23" s="224"/>
      <c r="HRR23" s="225"/>
      <c r="HRS23" s="226"/>
      <c r="HRT23" s="227"/>
      <c r="HRU23" s="228"/>
      <c r="HRV23" s="228"/>
      <c r="HRW23" s="228"/>
      <c r="HRX23" s="228"/>
      <c r="HRY23" s="228"/>
      <c r="HRZ23" s="228"/>
      <c r="HSA23" s="226"/>
      <c r="HSB23" s="226"/>
      <c r="HSC23" s="224"/>
      <c r="HSD23" s="225"/>
      <c r="HSE23" s="226"/>
      <c r="HSF23" s="227"/>
      <c r="HSG23" s="228"/>
      <c r="HSH23" s="228"/>
      <c r="HSI23" s="228"/>
      <c r="HSJ23" s="228"/>
      <c r="HSK23" s="228"/>
      <c r="HSL23" s="228"/>
      <c r="HSM23" s="226"/>
      <c r="HSN23" s="226"/>
      <c r="HSO23" s="224"/>
      <c r="HSP23" s="225"/>
      <c r="HSQ23" s="226"/>
      <c r="HSR23" s="227"/>
      <c r="HSS23" s="228"/>
      <c r="HST23" s="228"/>
      <c r="HSU23" s="228"/>
      <c r="HSV23" s="228"/>
      <c r="HSW23" s="228"/>
      <c r="HSX23" s="228"/>
      <c r="HSY23" s="226"/>
      <c r="HSZ23" s="226"/>
      <c r="HTA23" s="224"/>
      <c r="HTB23" s="225"/>
      <c r="HTC23" s="226"/>
      <c r="HTD23" s="227"/>
      <c r="HTE23" s="228"/>
      <c r="HTF23" s="228"/>
      <c r="HTG23" s="228"/>
      <c r="HTH23" s="228"/>
      <c r="HTI23" s="228"/>
      <c r="HTJ23" s="228"/>
      <c r="HTK23" s="226"/>
      <c r="HTL23" s="226"/>
      <c r="HTM23" s="224"/>
      <c r="HTN23" s="225"/>
      <c r="HTO23" s="226"/>
      <c r="HTP23" s="227"/>
      <c r="HTQ23" s="228"/>
      <c r="HTR23" s="228"/>
      <c r="HTS23" s="228"/>
      <c r="HTT23" s="228"/>
      <c r="HTU23" s="228"/>
      <c r="HTV23" s="228"/>
      <c r="HTW23" s="226"/>
      <c r="HTX23" s="226"/>
      <c r="HTY23" s="224"/>
      <c r="HTZ23" s="225"/>
      <c r="HUA23" s="226"/>
      <c r="HUB23" s="227"/>
      <c r="HUC23" s="228"/>
      <c r="HUD23" s="228"/>
      <c r="HUE23" s="228"/>
      <c r="HUF23" s="228"/>
      <c r="HUG23" s="228"/>
      <c r="HUH23" s="228"/>
      <c r="HUI23" s="226"/>
      <c r="HUJ23" s="226"/>
      <c r="HUK23" s="224"/>
      <c r="HUL23" s="225"/>
      <c r="HUM23" s="226"/>
      <c r="HUN23" s="227"/>
      <c r="HUO23" s="228"/>
      <c r="HUP23" s="228"/>
      <c r="HUQ23" s="228"/>
      <c r="HUR23" s="228"/>
      <c r="HUS23" s="228"/>
      <c r="HUT23" s="228"/>
      <c r="HUU23" s="226"/>
      <c r="HUV23" s="226"/>
      <c r="HUW23" s="224"/>
      <c r="HUX23" s="225"/>
      <c r="HUY23" s="226"/>
      <c r="HUZ23" s="227"/>
      <c r="HVA23" s="228"/>
      <c r="HVB23" s="228"/>
      <c r="HVC23" s="228"/>
      <c r="HVD23" s="228"/>
      <c r="HVE23" s="228"/>
      <c r="HVF23" s="228"/>
      <c r="HVG23" s="226"/>
      <c r="HVH23" s="226"/>
      <c r="HVI23" s="224"/>
      <c r="HVJ23" s="225"/>
      <c r="HVK23" s="226"/>
      <c r="HVL23" s="227"/>
      <c r="HVM23" s="228"/>
      <c r="HVN23" s="228"/>
      <c r="HVO23" s="228"/>
      <c r="HVP23" s="228"/>
      <c r="HVQ23" s="228"/>
      <c r="HVR23" s="228"/>
      <c r="HVS23" s="226"/>
      <c r="HVT23" s="226"/>
      <c r="HVU23" s="224"/>
      <c r="HVV23" s="225"/>
      <c r="HVW23" s="226"/>
      <c r="HVX23" s="227"/>
      <c r="HVY23" s="228"/>
      <c r="HVZ23" s="228"/>
      <c r="HWA23" s="228"/>
      <c r="HWB23" s="228"/>
      <c r="HWC23" s="228"/>
      <c r="HWD23" s="228"/>
      <c r="HWE23" s="226"/>
      <c r="HWF23" s="226"/>
      <c r="HWG23" s="224"/>
      <c r="HWH23" s="225"/>
      <c r="HWI23" s="226"/>
      <c r="HWJ23" s="227"/>
      <c r="HWK23" s="228"/>
      <c r="HWL23" s="228"/>
      <c r="HWM23" s="228"/>
      <c r="HWN23" s="228"/>
      <c r="HWO23" s="228"/>
      <c r="HWP23" s="228"/>
      <c r="HWQ23" s="226"/>
      <c r="HWR23" s="226"/>
      <c r="HWS23" s="224"/>
      <c r="HWT23" s="225"/>
      <c r="HWU23" s="226"/>
      <c r="HWV23" s="227"/>
      <c r="HWW23" s="228"/>
      <c r="HWX23" s="228"/>
      <c r="HWY23" s="228"/>
      <c r="HWZ23" s="228"/>
      <c r="HXA23" s="228"/>
      <c r="HXB23" s="228"/>
      <c r="HXC23" s="226"/>
      <c r="HXD23" s="226"/>
      <c r="HXE23" s="224"/>
      <c r="HXF23" s="225"/>
      <c r="HXG23" s="226"/>
      <c r="HXH23" s="227"/>
      <c r="HXI23" s="228"/>
      <c r="HXJ23" s="228"/>
      <c r="HXK23" s="228"/>
      <c r="HXL23" s="228"/>
      <c r="HXM23" s="228"/>
      <c r="HXN23" s="228"/>
      <c r="HXO23" s="226"/>
      <c r="HXP23" s="226"/>
      <c r="HXQ23" s="224"/>
      <c r="HXR23" s="225"/>
      <c r="HXS23" s="226"/>
      <c r="HXT23" s="227"/>
      <c r="HXU23" s="228"/>
      <c r="HXV23" s="228"/>
      <c r="HXW23" s="228"/>
      <c r="HXX23" s="228"/>
      <c r="HXY23" s="228"/>
      <c r="HXZ23" s="228"/>
      <c r="HYA23" s="226"/>
      <c r="HYB23" s="226"/>
      <c r="HYC23" s="224"/>
      <c r="HYD23" s="225"/>
      <c r="HYE23" s="226"/>
      <c r="HYF23" s="227"/>
      <c r="HYG23" s="228"/>
      <c r="HYH23" s="228"/>
      <c r="HYI23" s="228"/>
      <c r="HYJ23" s="228"/>
      <c r="HYK23" s="228"/>
      <c r="HYL23" s="228"/>
      <c r="HYM23" s="226"/>
      <c r="HYN23" s="226"/>
      <c r="HYO23" s="224"/>
      <c r="HYP23" s="225"/>
      <c r="HYQ23" s="226"/>
      <c r="HYR23" s="227"/>
      <c r="HYS23" s="228"/>
      <c r="HYT23" s="228"/>
      <c r="HYU23" s="228"/>
      <c r="HYV23" s="228"/>
      <c r="HYW23" s="228"/>
      <c r="HYX23" s="228"/>
      <c r="HYY23" s="226"/>
      <c r="HYZ23" s="226"/>
      <c r="HZA23" s="224"/>
      <c r="HZB23" s="225"/>
      <c r="HZC23" s="226"/>
      <c r="HZD23" s="227"/>
      <c r="HZE23" s="228"/>
      <c r="HZF23" s="228"/>
      <c r="HZG23" s="228"/>
      <c r="HZH23" s="228"/>
      <c r="HZI23" s="228"/>
      <c r="HZJ23" s="228"/>
      <c r="HZK23" s="226"/>
      <c r="HZL23" s="226"/>
      <c r="HZM23" s="224"/>
      <c r="HZN23" s="225"/>
      <c r="HZO23" s="226"/>
      <c r="HZP23" s="227"/>
      <c r="HZQ23" s="228"/>
      <c r="HZR23" s="228"/>
      <c r="HZS23" s="228"/>
      <c r="HZT23" s="228"/>
      <c r="HZU23" s="228"/>
      <c r="HZV23" s="228"/>
      <c r="HZW23" s="226"/>
      <c r="HZX23" s="226"/>
      <c r="HZY23" s="224"/>
      <c r="HZZ23" s="225"/>
      <c r="IAA23" s="226"/>
      <c r="IAB23" s="227"/>
      <c r="IAC23" s="228"/>
      <c r="IAD23" s="228"/>
      <c r="IAE23" s="228"/>
      <c r="IAF23" s="228"/>
      <c r="IAG23" s="228"/>
      <c r="IAH23" s="228"/>
      <c r="IAI23" s="226"/>
      <c r="IAJ23" s="226"/>
      <c r="IAK23" s="224"/>
      <c r="IAL23" s="225"/>
      <c r="IAM23" s="226"/>
      <c r="IAN23" s="227"/>
      <c r="IAO23" s="228"/>
      <c r="IAP23" s="228"/>
      <c r="IAQ23" s="228"/>
      <c r="IAR23" s="228"/>
      <c r="IAS23" s="228"/>
      <c r="IAT23" s="228"/>
      <c r="IAU23" s="226"/>
      <c r="IAV23" s="226"/>
      <c r="IAW23" s="224"/>
      <c r="IAX23" s="225"/>
      <c r="IAY23" s="226"/>
      <c r="IAZ23" s="227"/>
      <c r="IBA23" s="228"/>
      <c r="IBB23" s="228"/>
      <c r="IBC23" s="228"/>
      <c r="IBD23" s="228"/>
      <c r="IBE23" s="228"/>
      <c r="IBF23" s="228"/>
      <c r="IBG23" s="226"/>
      <c r="IBH23" s="226"/>
      <c r="IBI23" s="224"/>
      <c r="IBJ23" s="225"/>
      <c r="IBK23" s="226"/>
      <c r="IBL23" s="227"/>
      <c r="IBM23" s="228"/>
      <c r="IBN23" s="228"/>
      <c r="IBO23" s="228"/>
      <c r="IBP23" s="228"/>
      <c r="IBQ23" s="228"/>
      <c r="IBR23" s="228"/>
      <c r="IBS23" s="226"/>
      <c r="IBT23" s="226"/>
      <c r="IBU23" s="224"/>
      <c r="IBV23" s="225"/>
      <c r="IBW23" s="226"/>
      <c r="IBX23" s="227"/>
      <c r="IBY23" s="228"/>
      <c r="IBZ23" s="228"/>
      <c r="ICA23" s="228"/>
      <c r="ICB23" s="228"/>
      <c r="ICC23" s="228"/>
      <c r="ICD23" s="228"/>
      <c r="ICE23" s="226"/>
      <c r="ICF23" s="226"/>
      <c r="ICG23" s="224"/>
      <c r="ICH23" s="225"/>
      <c r="ICI23" s="226"/>
      <c r="ICJ23" s="227"/>
      <c r="ICK23" s="228"/>
      <c r="ICL23" s="228"/>
      <c r="ICM23" s="228"/>
      <c r="ICN23" s="228"/>
      <c r="ICO23" s="228"/>
      <c r="ICP23" s="228"/>
      <c r="ICQ23" s="226"/>
      <c r="ICR23" s="226"/>
      <c r="ICS23" s="224"/>
      <c r="ICT23" s="225"/>
      <c r="ICU23" s="226"/>
      <c r="ICV23" s="227"/>
      <c r="ICW23" s="228"/>
      <c r="ICX23" s="228"/>
      <c r="ICY23" s="228"/>
      <c r="ICZ23" s="228"/>
      <c r="IDA23" s="228"/>
      <c r="IDB23" s="228"/>
      <c r="IDC23" s="226"/>
      <c r="IDD23" s="226"/>
      <c r="IDE23" s="224"/>
      <c r="IDF23" s="225"/>
      <c r="IDG23" s="226"/>
      <c r="IDH23" s="227"/>
      <c r="IDI23" s="228"/>
      <c r="IDJ23" s="228"/>
      <c r="IDK23" s="228"/>
      <c r="IDL23" s="228"/>
      <c r="IDM23" s="228"/>
      <c r="IDN23" s="228"/>
      <c r="IDO23" s="226"/>
      <c r="IDP23" s="226"/>
      <c r="IDQ23" s="224"/>
      <c r="IDR23" s="225"/>
      <c r="IDS23" s="226"/>
      <c r="IDT23" s="227"/>
      <c r="IDU23" s="228"/>
      <c r="IDV23" s="228"/>
      <c r="IDW23" s="228"/>
      <c r="IDX23" s="228"/>
      <c r="IDY23" s="228"/>
      <c r="IDZ23" s="228"/>
      <c r="IEA23" s="226"/>
      <c r="IEB23" s="226"/>
      <c r="IEC23" s="224"/>
      <c r="IED23" s="225"/>
      <c r="IEE23" s="226"/>
      <c r="IEF23" s="227"/>
      <c r="IEG23" s="228"/>
      <c r="IEH23" s="228"/>
      <c r="IEI23" s="228"/>
      <c r="IEJ23" s="228"/>
      <c r="IEK23" s="228"/>
      <c r="IEL23" s="228"/>
      <c r="IEM23" s="226"/>
      <c r="IEN23" s="226"/>
      <c r="IEO23" s="224"/>
      <c r="IEP23" s="225"/>
      <c r="IEQ23" s="226"/>
      <c r="IER23" s="227"/>
      <c r="IES23" s="228"/>
      <c r="IET23" s="228"/>
      <c r="IEU23" s="228"/>
      <c r="IEV23" s="228"/>
      <c r="IEW23" s="228"/>
      <c r="IEX23" s="228"/>
      <c r="IEY23" s="226"/>
      <c r="IEZ23" s="226"/>
      <c r="IFA23" s="224"/>
      <c r="IFB23" s="225"/>
      <c r="IFC23" s="226"/>
      <c r="IFD23" s="227"/>
      <c r="IFE23" s="228"/>
      <c r="IFF23" s="228"/>
      <c r="IFG23" s="228"/>
      <c r="IFH23" s="228"/>
      <c r="IFI23" s="228"/>
      <c r="IFJ23" s="228"/>
      <c r="IFK23" s="226"/>
      <c r="IFL23" s="226"/>
      <c r="IFM23" s="224"/>
      <c r="IFN23" s="225"/>
      <c r="IFO23" s="226"/>
      <c r="IFP23" s="227"/>
      <c r="IFQ23" s="228"/>
      <c r="IFR23" s="228"/>
      <c r="IFS23" s="228"/>
      <c r="IFT23" s="228"/>
      <c r="IFU23" s="228"/>
      <c r="IFV23" s="228"/>
      <c r="IFW23" s="226"/>
      <c r="IFX23" s="226"/>
      <c r="IFY23" s="224"/>
      <c r="IFZ23" s="225"/>
      <c r="IGA23" s="226"/>
      <c r="IGB23" s="227"/>
      <c r="IGC23" s="228"/>
      <c r="IGD23" s="228"/>
      <c r="IGE23" s="228"/>
      <c r="IGF23" s="228"/>
      <c r="IGG23" s="228"/>
      <c r="IGH23" s="228"/>
      <c r="IGI23" s="226"/>
      <c r="IGJ23" s="226"/>
      <c r="IGK23" s="224"/>
      <c r="IGL23" s="225"/>
      <c r="IGM23" s="226"/>
      <c r="IGN23" s="227"/>
      <c r="IGO23" s="228"/>
      <c r="IGP23" s="228"/>
      <c r="IGQ23" s="228"/>
      <c r="IGR23" s="228"/>
      <c r="IGS23" s="228"/>
      <c r="IGT23" s="228"/>
      <c r="IGU23" s="226"/>
      <c r="IGV23" s="226"/>
      <c r="IGW23" s="224"/>
      <c r="IGX23" s="225"/>
      <c r="IGY23" s="226"/>
      <c r="IGZ23" s="227"/>
      <c r="IHA23" s="228"/>
      <c r="IHB23" s="228"/>
      <c r="IHC23" s="228"/>
      <c r="IHD23" s="228"/>
      <c r="IHE23" s="228"/>
      <c r="IHF23" s="228"/>
      <c r="IHG23" s="226"/>
      <c r="IHH23" s="226"/>
      <c r="IHI23" s="224"/>
      <c r="IHJ23" s="225"/>
      <c r="IHK23" s="226"/>
      <c r="IHL23" s="227"/>
      <c r="IHM23" s="228"/>
      <c r="IHN23" s="228"/>
      <c r="IHO23" s="228"/>
      <c r="IHP23" s="228"/>
      <c r="IHQ23" s="228"/>
      <c r="IHR23" s="228"/>
      <c r="IHS23" s="226"/>
      <c r="IHT23" s="226"/>
      <c r="IHU23" s="224"/>
      <c r="IHV23" s="225"/>
      <c r="IHW23" s="226"/>
      <c r="IHX23" s="227"/>
      <c r="IHY23" s="228"/>
      <c r="IHZ23" s="228"/>
      <c r="IIA23" s="228"/>
      <c r="IIB23" s="228"/>
      <c r="IIC23" s="228"/>
      <c r="IID23" s="228"/>
      <c r="IIE23" s="226"/>
      <c r="IIF23" s="226"/>
      <c r="IIG23" s="224"/>
      <c r="IIH23" s="225"/>
      <c r="III23" s="226"/>
      <c r="IIJ23" s="227"/>
      <c r="IIK23" s="228"/>
      <c r="IIL23" s="228"/>
      <c r="IIM23" s="228"/>
      <c r="IIN23" s="228"/>
      <c r="IIO23" s="228"/>
      <c r="IIP23" s="228"/>
      <c r="IIQ23" s="226"/>
      <c r="IIR23" s="226"/>
      <c r="IIS23" s="224"/>
      <c r="IIT23" s="225"/>
      <c r="IIU23" s="226"/>
      <c r="IIV23" s="227"/>
      <c r="IIW23" s="228"/>
      <c r="IIX23" s="228"/>
      <c r="IIY23" s="228"/>
      <c r="IIZ23" s="228"/>
      <c r="IJA23" s="228"/>
      <c r="IJB23" s="228"/>
      <c r="IJC23" s="226"/>
      <c r="IJD23" s="226"/>
      <c r="IJE23" s="224"/>
      <c r="IJF23" s="225"/>
      <c r="IJG23" s="226"/>
      <c r="IJH23" s="227"/>
      <c r="IJI23" s="228"/>
      <c r="IJJ23" s="228"/>
      <c r="IJK23" s="228"/>
      <c r="IJL23" s="228"/>
      <c r="IJM23" s="228"/>
      <c r="IJN23" s="228"/>
      <c r="IJO23" s="226"/>
      <c r="IJP23" s="226"/>
      <c r="IJQ23" s="224"/>
      <c r="IJR23" s="225"/>
      <c r="IJS23" s="226"/>
      <c r="IJT23" s="227"/>
      <c r="IJU23" s="228"/>
      <c r="IJV23" s="228"/>
      <c r="IJW23" s="228"/>
      <c r="IJX23" s="228"/>
      <c r="IJY23" s="228"/>
      <c r="IJZ23" s="228"/>
      <c r="IKA23" s="226"/>
      <c r="IKB23" s="226"/>
      <c r="IKC23" s="224"/>
      <c r="IKD23" s="225"/>
      <c r="IKE23" s="226"/>
      <c r="IKF23" s="227"/>
      <c r="IKG23" s="228"/>
      <c r="IKH23" s="228"/>
      <c r="IKI23" s="228"/>
      <c r="IKJ23" s="228"/>
      <c r="IKK23" s="228"/>
      <c r="IKL23" s="228"/>
      <c r="IKM23" s="226"/>
      <c r="IKN23" s="226"/>
      <c r="IKO23" s="224"/>
      <c r="IKP23" s="225"/>
      <c r="IKQ23" s="226"/>
      <c r="IKR23" s="227"/>
      <c r="IKS23" s="228"/>
      <c r="IKT23" s="228"/>
      <c r="IKU23" s="228"/>
      <c r="IKV23" s="228"/>
      <c r="IKW23" s="228"/>
      <c r="IKX23" s="228"/>
      <c r="IKY23" s="226"/>
      <c r="IKZ23" s="226"/>
      <c r="ILA23" s="224"/>
      <c r="ILB23" s="225"/>
      <c r="ILC23" s="226"/>
      <c r="ILD23" s="227"/>
      <c r="ILE23" s="228"/>
      <c r="ILF23" s="228"/>
      <c r="ILG23" s="228"/>
      <c r="ILH23" s="228"/>
      <c r="ILI23" s="228"/>
      <c r="ILJ23" s="228"/>
      <c r="ILK23" s="226"/>
      <c r="ILL23" s="226"/>
      <c r="ILM23" s="224"/>
      <c r="ILN23" s="225"/>
      <c r="ILO23" s="226"/>
      <c r="ILP23" s="227"/>
      <c r="ILQ23" s="228"/>
      <c r="ILR23" s="228"/>
      <c r="ILS23" s="228"/>
      <c r="ILT23" s="228"/>
      <c r="ILU23" s="228"/>
      <c r="ILV23" s="228"/>
      <c r="ILW23" s="226"/>
      <c r="ILX23" s="226"/>
      <c r="ILY23" s="224"/>
      <c r="ILZ23" s="225"/>
      <c r="IMA23" s="226"/>
      <c r="IMB23" s="227"/>
      <c r="IMC23" s="228"/>
      <c r="IMD23" s="228"/>
      <c r="IME23" s="228"/>
      <c r="IMF23" s="228"/>
      <c r="IMG23" s="228"/>
      <c r="IMH23" s="228"/>
      <c r="IMI23" s="226"/>
      <c r="IMJ23" s="226"/>
      <c r="IMK23" s="224"/>
      <c r="IML23" s="225"/>
      <c r="IMM23" s="226"/>
      <c r="IMN23" s="227"/>
      <c r="IMO23" s="228"/>
      <c r="IMP23" s="228"/>
      <c r="IMQ23" s="228"/>
      <c r="IMR23" s="228"/>
      <c r="IMS23" s="228"/>
      <c r="IMT23" s="228"/>
      <c r="IMU23" s="226"/>
      <c r="IMV23" s="226"/>
      <c r="IMW23" s="224"/>
      <c r="IMX23" s="225"/>
      <c r="IMY23" s="226"/>
      <c r="IMZ23" s="227"/>
      <c r="INA23" s="228"/>
      <c r="INB23" s="228"/>
      <c r="INC23" s="228"/>
      <c r="IND23" s="228"/>
      <c r="INE23" s="228"/>
      <c r="INF23" s="228"/>
      <c r="ING23" s="226"/>
      <c r="INH23" s="226"/>
      <c r="INI23" s="224"/>
      <c r="INJ23" s="225"/>
      <c r="INK23" s="226"/>
      <c r="INL23" s="227"/>
      <c r="INM23" s="228"/>
      <c r="INN23" s="228"/>
      <c r="INO23" s="228"/>
      <c r="INP23" s="228"/>
      <c r="INQ23" s="228"/>
      <c r="INR23" s="228"/>
      <c r="INS23" s="226"/>
      <c r="INT23" s="226"/>
      <c r="INU23" s="224"/>
      <c r="INV23" s="225"/>
      <c r="INW23" s="226"/>
      <c r="INX23" s="227"/>
      <c r="INY23" s="228"/>
      <c r="INZ23" s="228"/>
      <c r="IOA23" s="228"/>
      <c r="IOB23" s="228"/>
      <c r="IOC23" s="228"/>
      <c r="IOD23" s="228"/>
      <c r="IOE23" s="226"/>
      <c r="IOF23" s="226"/>
      <c r="IOG23" s="224"/>
      <c r="IOH23" s="225"/>
      <c r="IOI23" s="226"/>
      <c r="IOJ23" s="227"/>
      <c r="IOK23" s="228"/>
      <c r="IOL23" s="228"/>
      <c r="IOM23" s="228"/>
      <c r="ION23" s="228"/>
      <c r="IOO23" s="228"/>
      <c r="IOP23" s="228"/>
      <c r="IOQ23" s="226"/>
      <c r="IOR23" s="226"/>
      <c r="IOS23" s="224"/>
      <c r="IOT23" s="225"/>
      <c r="IOU23" s="226"/>
      <c r="IOV23" s="227"/>
      <c r="IOW23" s="228"/>
      <c r="IOX23" s="228"/>
      <c r="IOY23" s="228"/>
      <c r="IOZ23" s="228"/>
      <c r="IPA23" s="228"/>
      <c r="IPB23" s="228"/>
      <c r="IPC23" s="226"/>
      <c r="IPD23" s="226"/>
      <c r="IPE23" s="224"/>
      <c r="IPF23" s="225"/>
      <c r="IPG23" s="226"/>
      <c r="IPH23" s="227"/>
      <c r="IPI23" s="228"/>
      <c r="IPJ23" s="228"/>
      <c r="IPK23" s="228"/>
      <c r="IPL23" s="228"/>
      <c r="IPM23" s="228"/>
      <c r="IPN23" s="228"/>
      <c r="IPO23" s="226"/>
      <c r="IPP23" s="226"/>
      <c r="IPQ23" s="224"/>
      <c r="IPR23" s="225"/>
      <c r="IPS23" s="226"/>
      <c r="IPT23" s="227"/>
      <c r="IPU23" s="228"/>
      <c r="IPV23" s="228"/>
      <c r="IPW23" s="228"/>
      <c r="IPX23" s="228"/>
      <c r="IPY23" s="228"/>
      <c r="IPZ23" s="228"/>
      <c r="IQA23" s="226"/>
      <c r="IQB23" s="226"/>
      <c r="IQC23" s="224"/>
      <c r="IQD23" s="225"/>
      <c r="IQE23" s="226"/>
      <c r="IQF23" s="227"/>
      <c r="IQG23" s="228"/>
      <c r="IQH23" s="228"/>
      <c r="IQI23" s="228"/>
      <c r="IQJ23" s="228"/>
      <c r="IQK23" s="228"/>
      <c r="IQL23" s="228"/>
      <c r="IQM23" s="226"/>
      <c r="IQN23" s="226"/>
      <c r="IQO23" s="224"/>
      <c r="IQP23" s="225"/>
      <c r="IQQ23" s="226"/>
      <c r="IQR23" s="227"/>
      <c r="IQS23" s="228"/>
      <c r="IQT23" s="228"/>
      <c r="IQU23" s="228"/>
      <c r="IQV23" s="228"/>
      <c r="IQW23" s="228"/>
      <c r="IQX23" s="228"/>
      <c r="IQY23" s="226"/>
      <c r="IQZ23" s="226"/>
      <c r="IRA23" s="224"/>
      <c r="IRB23" s="225"/>
      <c r="IRC23" s="226"/>
      <c r="IRD23" s="227"/>
      <c r="IRE23" s="228"/>
      <c r="IRF23" s="228"/>
      <c r="IRG23" s="228"/>
      <c r="IRH23" s="228"/>
      <c r="IRI23" s="228"/>
      <c r="IRJ23" s="228"/>
      <c r="IRK23" s="226"/>
      <c r="IRL23" s="226"/>
      <c r="IRM23" s="224"/>
      <c r="IRN23" s="225"/>
      <c r="IRO23" s="226"/>
      <c r="IRP23" s="227"/>
      <c r="IRQ23" s="228"/>
      <c r="IRR23" s="228"/>
      <c r="IRS23" s="228"/>
      <c r="IRT23" s="228"/>
      <c r="IRU23" s="228"/>
      <c r="IRV23" s="228"/>
      <c r="IRW23" s="226"/>
      <c r="IRX23" s="226"/>
      <c r="IRY23" s="224"/>
      <c r="IRZ23" s="225"/>
      <c r="ISA23" s="226"/>
      <c r="ISB23" s="227"/>
      <c r="ISC23" s="228"/>
      <c r="ISD23" s="228"/>
      <c r="ISE23" s="228"/>
      <c r="ISF23" s="228"/>
      <c r="ISG23" s="228"/>
      <c r="ISH23" s="228"/>
      <c r="ISI23" s="226"/>
      <c r="ISJ23" s="226"/>
      <c r="ISK23" s="224"/>
      <c r="ISL23" s="225"/>
      <c r="ISM23" s="226"/>
      <c r="ISN23" s="227"/>
      <c r="ISO23" s="228"/>
      <c r="ISP23" s="228"/>
      <c r="ISQ23" s="228"/>
      <c r="ISR23" s="228"/>
      <c r="ISS23" s="228"/>
      <c r="IST23" s="228"/>
      <c r="ISU23" s="226"/>
      <c r="ISV23" s="226"/>
      <c r="ISW23" s="224"/>
      <c r="ISX23" s="225"/>
      <c r="ISY23" s="226"/>
      <c r="ISZ23" s="227"/>
      <c r="ITA23" s="228"/>
      <c r="ITB23" s="228"/>
      <c r="ITC23" s="228"/>
      <c r="ITD23" s="228"/>
      <c r="ITE23" s="228"/>
      <c r="ITF23" s="228"/>
      <c r="ITG23" s="226"/>
      <c r="ITH23" s="226"/>
      <c r="ITI23" s="224"/>
      <c r="ITJ23" s="225"/>
      <c r="ITK23" s="226"/>
      <c r="ITL23" s="227"/>
      <c r="ITM23" s="228"/>
      <c r="ITN23" s="228"/>
      <c r="ITO23" s="228"/>
      <c r="ITP23" s="228"/>
      <c r="ITQ23" s="228"/>
      <c r="ITR23" s="228"/>
      <c r="ITS23" s="226"/>
      <c r="ITT23" s="226"/>
      <c r="ITU23" s="224"/>
      <c r="ITV23" s="225"/>
      <c r="ITW23" s="226"/>
      <c r="ITX23" s="227"/>
      <c r="ITY23" s="228"/>
      <c r="ITZ23" s="228"/>
      <c r="IUA23" s="228"/>
      <c r="IUB23" s="228"/>
      <c r="IUC23" s="228"/>
      <c r="IUD23" s="228"/>
      <c r="IUE23" s="226"/>
      <c r="IUF23" s="226"/>
      <c r="IUG23" s="224"/>
      <c r="IUH23" s="225"/>
      <c r="IUI23" s="226"/>
      <c r="IUJ23" s="227"/>
      <c r="IUK23" s="228"/>
      <c r="IUL23" s="228"/>
      <c r="IUM23" s="228"/>
      <c r="IUN23" s="228"/>
      <c r="IUO23" s="228"/>
      <c r="IUP23" s="228"/>
      <c r="IUQ23" s="226"/>
      <c r="IUR23" s="226"/>
      <c r="IUS23" s="224"/>
      <c r="IUT23" s="225"/>
      <c r="IUU23" s="226"/>
      <c r="IUV23" s="227"/>
      <c r="IUW23" s="228"/>
      <c r="IUX23" s="228"/>
      <c r="IUY23" s="228"/>
      <c r="IUZ23" s="228"/>
      <c r="IVA23" s="228"/>
      <c r="IVB23" s="228"/>
      <c r="IVC23" s="226"/>
      <c r="IVD23" s="226"/>
      <c r="IVE23" s="224"/>
      <c r="IVF23" s="225"/>
      <c r="IVG23" s="226"/>
      <c r="IVH23" s="227"/>
      <c r="IVI23" s="228"/>
      <c r="IVJ23" s="228"/>
      <c r="IVK23" s="228"/>
      <c r="IVL23" s="228"/>
      <c r="IVM23" s="228"/>
      <c r="IVN23" s="228"/>
      <c r="IVO23" s="226"/>
      <c r="IVP23" s="226"/>
      <c r="IVQ23" s="224"/>
      <c r="IVR23" s="225"/>
      <c r="IVS23" s="226"/>
      <c r="IVT23" s="227"/>
      <c r="IVU23" s="228"/>
      <c r="IVV23" s="228"/>
      <c r="IVW23" s="228"/>
      <c r="IVX23" s="228"/>
      <c r="IVY23" s="228"/>
      <c r="IVZ23" s="228"/>
      <c r="IWA23" s="226"/>
      <c r="IWB23" s="226"/>
      <c r="IWC23" s="224"/>
      <c r="IWD23" s="225"/>
      <c r="IWE23" s="226"/>
      <c r="IWF23" s="227"/>
      <c r="IWG23" s="228"/>
      <c r="IWH23" s="228"/>
      <c r="IWI23" s="228"/>
      <c r="IWJ23" s="228"/>
      <c r="IWK23" s="228"/>
      <c r="IWL23" s="228"/>
      <c r="IWM23" s="226"/>
      <c r="IWN23" s="226"/>
      <c r="IWO23" s="224"/>
      <c r="IWP23" s="225"/>
      <c r="IWQ23" s="226"/>
      <c r="IWR23" s="227"/>
      <c r="IWS23" s="228"/>
      <c r="IWT23" s="228"/>
      <c r="IWU23" s="228"/>
      <c r="IWV23" s="228"/>
      <c r="IWW23" s="228"/>
      <c r="IWX23" s="228"/>
      <c r="IWY23" s="226"/>
      <c r="IWZ23" s="226"/>
      <c r="IXA23" s="224"/>
      <c r="IXB23" s="225"/>
      <c r="IXC23" s="226"/>
      <c r="IXD23" s="227"/>
      <c r="IXE23" s="228"/>
      <c r="IXF23" s="228"/>
      <c r="IXG23" s="228"/>
      <c r="IXH23" s="228"/>
      <c r="IXI23" s="228"/>
      <c r="IXJ23" s="228"/>
      <c r="IXK23" s="226"/>
      <c r="IXL23" s="226"/>
      <c r="IXM23" s="224"/>
      <c r="IXN23" s="225"/>
      <c r="IXO23" s="226"/>
      <c r="IXP23" s="227"/>
      <c r="IXQ23" s="228"/>
      <c r="IXR23" s="228"/>
      <c r="IXS23" s="228"/>
      <c r="IXT23" s="228"/>
      <c r="IXU23" s="228"/>
      <c r="IXV23" s="228"/>
      <c r="IXW23" s="226"/>
      <c r="IXX23" s="226"/>
      <c r="IXY23" s="224"/>
      <c r="IXZ23" s="225"/>
      <c r="IYA23" s="226"/>
      <c r="IYB23" s="227"/>
      <c r="IYC23" s="228"/>
      <c r="IYD23" s="228"/>
      <c r="IYE23" s="228"/>
      <c r="IYF23" s="228"/>
      <c r="IYG23" s="228"/>
      <c r="IYH23" s="228"/>
      <c r="IYI23" s="226"/>
      <c r="IYJ23" s="226"/>
      <c r="IYK23" s="224"/>
      <c r="IYL23" s="225"/>
      <c r="IYM23" s="226"/>
      <c r="IYN23" s="227"/>
      <c r="IYO23" s="228"/>
      <c r="IYP23" s="228"/>
      <c r="IYQ23" s="228"/>
      <c r="IYR23" s="228"/>
      <c r="IYS23" s="228"/>
      <c r="IYT23" s="228"/>
      <c r="IYU23" s="226"/>
      <c r="IYV23" s="226"/>
      <c r="IYW23" s="224"/>
      <c r="IYX23" s="225"/>
      <c r="IYY23" s="226"/>
      <c r="IYZ23" s="227"/>
      <c r="IZA23" s="228"/>
      <c r="IZB23" s="228"/>
      <c r="IZC23" s="228"/>
      <c r="IZD23" s="228"/>
      <c r="IZE23" s="228"/>
      <c r="IZF23" s="228"/>
      <c r="IZG23" s="226"/>
      <c r="IZH23" s="226"/>
      <c r="IZI23" s="224"/>
      <c r="IZJ23" s="225"/>
      <c r="IZK23" s="226"/>
      <c r="IZL23" s="227"/>
      <c r="IZM23" s="228"/>
      <c r="IZN23" s="228"/>
      <c r="IZO23" s="228"/>
      <c r="IZP23" s="228"/>
      <c r="IZQ23" s="228"/>
      <c r="IZR23" s="228"/>
      <c r="IZS23" s="226"/>
      <c r="IZT23" s="226"/>
      <c r="IZU23" s="224"/>
      <c r="IZV23" s="225"/>
      <c r="IZW23" s="226"/>
      <c r="IZX23" s="227"/>
      <c r="IZY23" s="228"/>
      <c r="IZZ23" s="228"/>
      <c r="JAA23" s="228"/>
      <c r="JAB23" s="228"/>
      <c r="JAC23" s="228"/>
      <c r="JAD23" s="228"/>
      <c r="JAE23" s="226"/>
      <c r="JAF23" s="226"/>
      <c r="JAG23" s="224"/>
      <c r="JAH23" s="225"/>
      <c r="JAI23" s="226"/>
      <c r="JAJ23" s="227"/>
      <c r="JAK23" s="228"/>
      <c r="JAL23" s="228"/>
      <c r="JAM23" s="228"/>
      <c r="JAN23" s="228"/>
      <c r="JAO23" s="228"/>
      <c r="JAP23" s="228"/>
      <c r="JAQ23" s="226"/>
      <c r="JAR23" s="226"/>
      <c r="JAS23" s="224"/>
      <c r="JAT23" s="225"/>
      <c r="JAU23" s="226"/>
      <c r="JAV23" s="227"/>
      <c r="JAW23" s="228"/>
      <c r="JAX23" s="228"/>
      <c r="JAY23" s="228"/>
      <c r="JAZ23" s="228"/>
      <c r="JBA23" s="228"/>
      <c r="JBB23" s="228"/>
      <c r="JBC23" s="226"/>
      <c r="JBD23" s="226"/>
      <c r="JBE23" s="224"/>
      <c r="JBF23" s="225"/>
      <c r="JBG23" s="226"/>
      <c r="JBH23" s="227"/>
      <c r="JBI23" s="228"/>
      <c r="JBJ23" s="228"/>
      <c r="JBK23" s="228"/>
      <c r="JBL23" s="228"/>
      <c r="JBM23" s="228"/>
      <c r="JBN23" s="228"/>
      <c r="JBO23" s="226"/>
      <c r="JBP23" s="226"/>
      <c r="JBQ23" s="224"/>
      <c r="JBR23" s="225"/>
      <c r="JBS23" s="226"/>
      <c r="JBT23" s="227"/>
      <c r="JBU23" s="228"/>
      <c r="JBV23" s="228"/>
      <c r="JBW23" s="228"/>
      <c r="JBX23" s="228"/>
      <c r="JBY23" s="228"/>
      <c r="JBZ23" s="228"/>
      <c r="JCA23" s="226"/>
      <c r="JCB23" s="226"/>
      <c r="JCC23" s="224"/>
      <c r="JCD23" s="225"/>
      <c r="JCE23" s="226"/>
      <c r="JCF23" s="227"/>
      <c r="JCG23" s="228"/>
      <c r="JCH23" s="228"/>
      <c r="JCI23" s="228"/>
      <c r="JCJ23" s="228"/>
      <c r="JCK23" s="228"/>
      <c r="JCL23" s="228"/>
      <c r="JCM23" s="226"/>
      <c r="JCN23" s="226"/>
      <c r="JCO23" s="224"/>
      <c r="JCP23" s="225"/>
      <c r="JCQ23" s="226"/>
      <c r="JCR23" s="227"/>
      <c r="JCS23" s="228"/>
      <c r="JCT23" s="228"/>
      <c r="JCU23" s="228"/>
      <c r="JCV23" s="228"/>
      <c r="JCW23" s="228"/>
      <c r="JCX23" s="228"/>
      <c r="JCY23" s="226"/>
      <c r="JCZ23" s="226"/>
      <c r="JDA23" s="224"/>
      <c r="JDB23" s="225"/>
      <c r="JDC23" s="226"/>
      <c r="JDD23" s="227"/>
      <c r="JDE23" s="228"/>
      <c r="JDF23" s="228"/>
      <c r="JDG23" s="228"/>
      <c r="JDH23" s="228"/>
      <c r="JDI23" s="228"/>
      <c r="JDJ23" s="228"/>
      <c r="JDK23" s="226"/>
      <c r="JDL23" s="226"/>
      <c r="JDM23" s="224"/>
      <c r="JDN23" s="225"/>
      <c r="JDO23" s="226"/>
      <c r="JDP23" s="227"/>
      <c r="JDQ23" s="228"/>
      <c r="JDR23" s="228"/>
      <c r="JDS23" s="228"/>
      <c r="JDT23" s="228"/>
      <c r="JDU23" s="228"/>
      <c r="JDV23" s="228"/>
      <c r="JDW23" s="226"/>
      <c r="JDX23" s="226"/>
      <c r="JDY23" s="224"/>
      <c r="JDZ23" s="225"/>
      <c r="JEA23" s="226"/>
      <c r="JEB23" s="227"/>
      <c r="JEC23" s="228"/>
      <c r="JED23" s="228"/>
      <c r="JEE23" s="228"/>
      <c r="JEF23" s="228"/>
      <c r="JEG23" s="228"/>
      <c r="JEH23" s="228"/>
      <c r="JEI23" s="226"/>
      <c r="JEJ23" s="226"/>
      <c r="JEK23" s="224"/>
      <c r="JEL23" s="225"/>
      <c r="JEM23" s="226"/>
      <c r="JEN23" s="227"/>
      <c r="JEO23" s="228"/>
      <c r="JEP23" s="228"/>
      <c r="JEQ23" s="228"/>
      <c r="JER23" s="228"/>
      <c r="JES23" s="228"/>
      <c r="JET23" s="228"/>
      <c r="JEU23" s="226"/>
      <c r="JEV23" s="226"/>
      <c r="JEW23" s="224"/>
      <c r="JEX23" s="225"/>
      <c r="JEY23" s="226"/>
      <c r="JEZ23" s="227"/>
      <c r="JFA23" s="228"/>
      <c r="JFB23" s="228"/>
      <c r="JFC23" s="228"/>
      <c r="JFD23" s="228"/>
      <c r="JFE23" s="228"/>
      <c r="JFF23" s="228"/>
      <c r="JFG23" s="226"/>
      <c r="JFH23" s="226"/>
      <c r="JFI23" s="224"/>
      <c r="JFJ23" s="225"/>
      <c r="JFK23" s="226"/>
      <c r="JFL23" s="227"/>
      <c r="JFM23" s="228"/>
      <c r="JFN23" s="228"/>
      <c r="JFO23" s="228"/>
      <c r="JFP23" s="228"/>
      <c r="JFQ23" s="228"/>
      <c r="JFR23" s="228"/>
      <c r="JFS23" s="226"/>
      <c r="JFT23" s="226"/>
      <c r="JFU23" s="224"/>
      <c r="JFV23" s="225"/>
      <c r="JFW23" s="226"/>
      <c r="JFX23" s="227"/>
      <c r="JFY23" s="228"/>
      <c r="JFZ23" s="228"/>
      <c r="JGA23" s="228"/>
      <c r="JGB23" s="228"/>
      <c r="JGC23" s="228"/>
      <c r="JGD23" s="228"/>
      <c r="JGE23" s="226"/>
      <c r="JGF23" s="226"/>
      <c r="JGG23" s="224"/>
      <c r="JGH23" s="225"/>
      <c r="JGI23" s="226"/>
      <c r="JGJ23" s="227"/>
      <c r="JGK23" s="228"/>
      <c r="JGL23" s="228"/>
      <c r="JGM23" s="228"/>
      <c r="JGN23" s="228"/>
      <c r="JGO23" s="228"/>
      <c r="JGP23" s="228"/>
      <c r="JGQ23" s="226"/>
      <c r="JGR23" s="226"/>
      <c r="JGS23" s="224"/>
      <c r="JGT23" s="225"/>
      <c r="JGU23" s="226"/>
      <c r="JGV23" s="227"/>
      <c r="JGW23" s="228"/>
      <c r="JGX23" s="228"/>
      <c r="JGY23" s="228"/>
      <c r="JGZ23" s="228"/>
      <c r="JHA23" s="228"/>
      <c r="JHB23" s="228"/>
      <c r="JHC23" s="226"/>
      <c r="JHD23" s="226"/>
      <c r="JHE23" s="224"/>
      <c r="JHF23" s="225"/>
      <c r="JHG23" s="226"/>
      <c r="JHH23" s="227"/>
      <c r="JHI23" s="228"/>
      <c r="JHJ23" s="228"/>
      <c r="JHK23" s="228"/>
      <c r="JHL23" s="228"/>
      <c r="JHM23" s="228"/>
      <c r="JHN23" s="228"/>
      <c r="JHO23" s="226"/>
      <c r="JHP23" s="226"/>
      <c r="JHQ23" s="224"/>
      <c r="JHR23" s="225"/>
      <c r="JHS23" s="226"/>
      <c r="JHT23" s="227"/>
      <c r="JHU23" s="228"/>
      <c r="JHV23" s="228"/>
      <c r="JHW23" s="228"/>
      <c r="JHX23" s="228"/>
      <c r="JHY23" s="228"/>
      <c r="JHZ23" s="228"/>
      <c r="JIA23" s="226"/>
      <c r="JIB23" s="226"/>
      <c r="JIC23" s="224"/>
      <c r="JID23" s="225"/>
      <c r="JIE23" s="226"/>
      <c r="JIF23" s="227"/>
      <c r="JIG23" s="228"/>
      <c r="JIH23" s="228"/>
      <c r="JII23" s="228"/>
      <c r="JIJ23" s="228"/>
      <c r="JIK23" s="228"/>
      <c r="JIL23" s="228"/>
      <c r="JIM23" s="226"/>
      <c r="JIN23" s="226"/>
      <c r="JIO23" s="224"/>
      <c r="JIP23" s="225"/>
      <c r="JIQ23" s="226"/>
      <c r="JIR23" s="227"/>
      <c r="JIS23" s="228"/>
      <c r="JIT23" s="228"/>
      <c r="JIU23" s="228"/>
      <c r="JIV23" s="228"/>
      <c r="JIW23" s="228"/>
      <c r="JIX23" s="228"/>
      <c r="JIY23" s="226"/>
      <c r="JIZ23" s="226"/>
      <c r="JJA23" s="224"/>
      <c r="JJB23" s="225"/>
      <c r="JJC23" s="226"/>
      <c r="JJD23" s="227"/>
      <c r="JJE23" s="228"/>
      <c r="JJF23" s="228"/>
      <c r="JJG23" s="228"/>
      <c r="JJH23" s="228"/>
      <c r="JJI23" s="228"/>
      <c r="JJJ23" s="228"/>
      <c r="JJK23" s="226"/>
      <c r="JJL23" s="226"/>
      <c r="JJM23" s="224"/>
      <c r="JJN23" s="225"/>
      <c r="JJO23" s="226"/>
      <c r="JJP23" s="227"/>
      <c r="JJQ23" s="228"/>
      <c r="JJR23" s="228"/>
      <c r="JJS23" s="228"/>
      <c r="JJT23" s="228"/>
      <c r="JJU23" s="228"/>
      <c r="JJV23" s="228"/>
      <c r="JJW23" s="226"/>
      <c r="JJX23" s="226"/>
      <c r="JJY23" s="224"/>
      <c r="JJZ23" s="225"/>
      <c r="JKA23" s="226"/>
      <c r="JKB23" s="227"/>
      <c r="JKC23" s="228"/>
      <c r="JKD23" s="228"/>
      <c r="JKE23" s="228"/>
      <c r="JKF23" s="228"/>
      <c r="JKG23" s="228"/>
      <c r="JKH23" s="228"/>
      <c r="JKI23" s="226"/>
      <c r="JKJ23" s="226"/>
      <c r="JKK23" s="224"/>
      <c r="JKL23" s="225"/>
      <c r="JKM23" s="226"/>
      <c r="JKN23" s="227"/>
      <c r="JKO23" s="228"/>
      <c r="JKP23" s="228"/>
      <c r="JKQ23" s="228"/>
      <c r="JKR23" s="228"/>
      <c r="JKS23" s="228"/>
      <c r="JKT23" s="228"/>
      <c r="JKU23" s="226"/>
      <c r="JKV23" s="226"/>
      <c r="JKW23" s="224"/>
      <c r="JKX23" s="225"/>
      <c r="JKY23" s="226"/>
      <c r="JKZ23" s="227"/>
      <c r="JLA23" s="228"/>
      <c r="JLB23" s="228"/>
      <c r="JLC23" s="228"/>
      <c r="JLD23" s="228"/>
      <c r="JLE23" s="228"/>
      <c r="JLF23" s="228"/>
      <c r="JLG23" s="226"/>
      <c r="JLH23" s="226"/>
      <c r="JLI23" s="224"/>
      <c r="JLJ23" s="225"/>
      <c r="JLK23" s="226"/>
      <c r="JLL23" s="227"/>
      <c r="JLM23" s="228"/>
      <c r="JLN23" s="228"/>
      <c r="JLO23" s="228"/>
      <c r="JLP23" s="228"/>
      <c r="JLQ23" s="228"/>
      <c r="JLR23" s="228"/>
      <c r="JLS23" s="226"/>
      <c r="JLT23" s="226"/>
      <c r="JLU23" s="224"/>
      <c r="JLV23" s="225"/>
      <c r="JLW23" s="226"/>
      <c r="JLX23" s="227"/>
      <c r="JLY23" s="228"/>
      <c r="JLZ23" s="228"/>
      <c r="JMA23" s="228"/>
      <c r="JMB23" s="228"/>
      <c r="JMC23" s="228"/>
      <c r="JMD23" s="228"/>
      <c r="JME23" s="226"/>
      <c r="JMF23" s="226"/>
      <c r="JMG23" s="224"/>
      <c r="JMH23" s="225"/>
      <c r="JMI23" s="226"/>
      <c r="JMJ23" s="227"/>
      <c r="JMK23" s="228"/>
      <c r="JML23" s="228"/>
      <c r="JMM23" s="228"/>
      <c r="JMN23" s="228"/>
      <c r="JMO23" s="228"/>
      <c r="JMP23" s="228"/>
      <c r="JMQ23" s="226"/>
      <c r="JMR23" s="226"/>
      <c r="JMS23" s="224"/>
      <c r="JMT23" s="225"/>
      <c r="JMU23" s="226"/>
      <c r="JMV23" s="227"/>
      <c r="JMW23" s="228"/>
      <c r="JMX23" s="228"/>
      <c r="JMY23" s="228"/>
      <c r="JMZ23" s="228"/>
      <c r="JNA23" s="228"/>
      <c r="JNB23" s="228"/>
      <c r="JNC23" s="226"/>
      <c r="JND23" s="226"/>
      <c r="JNE23" s="224"/>
      <c r="JNF23" s="225"/>
      <c r="JNG23" s="226"/>
      <c r="JNH23" s="227"/>
      <c r="JNI23" s="228"/>
      <c r="JNJ23" s="228"/>
      <c r="JNK23" s="228"/>
      <c r="JNL23" s="228"/>
      <c r="JNM23" s="228"/>
      <c r="JNN23" s="228"/>
      <c r="JNO23" s="226"/>
      <c r="JNP23" s="226"/>
      <c r="JNQ23" s="224"/>
      <c r="JNR23" s="225"/>
      <c r="JNS23" s="226"/>
      <c r="JNT23" s="227"/>
      <c r="JNU23" s="228"/>
      <c r="JNV23" s="228"/>
      <c r="JNW23" s="228"/>
      <c r="JNX23" s="228"/>
      <c r="JNY23" s="228"/>
      <c r="JNZ23" s="228"/>
      <c r="JOA23" s="226"/>
      <c r="JOB23" s="226"/>
      <c r="JOC23" s="224"/>
      <c r="JOD23" s="225"/>
      <c r="JOE23" s="226"/>
      <c r="JOF23" s="227"/>
      <c r="JOG23" s="228"/>
      <c r="JOH23" s="228"/>
      <c r="JOI23" s="228"/>
      <c r="JOJ23" s="228"/>
      <c r="JOK23" s="228"/>
      <c r="JOL23" s="228"/>
      <c r="JOM23" s="226"/>
      <c r="JON23" s="226"/>
      <c r="JOO23" s="224"/>
      <c r="JOP23" s="225"/>
      <c r="JOQ23" s="226"/>
      <c r="JOR23" s="227"/>
      <c r="JOS23" s="228"/>
      <c r="JOT23" s="228"/>
      <c r="JOU23" s="228"/>
      <c r="JOV23" s="228"/>
      <c r="JOW23" s="228"/>
      <c r="JOX23" s="228"/>
      <c r="JOY23" s="226"/>
      <c r="JOZ23" s="226"/>
      <c r="JPA23" s="224"/>
      <c r="JPB23" s="225"/>
      <c r="JPC23" s="226"/>
      <c r="JPD23" s="227"/>
      <c r="JPE23" s="228"/>
      <c r="JPF23" s="228"/>
      <c r="JPG23" s="228"/>
      <c r="JPH23" s="228"/>
      <c r="JPI23" s="228"/>
      <c r="JPJ23" s="228"/>
      <c r="JPK23" s="226"/>
      <c r="JPL23" s="226"/>
      <c r="JPM23" s="224"/>
      <c r="JPN23" s="225"/>
      <c r="JPO23" s="226"/>
      <c r="JPP23" s="227"/>
      <c r="JPQ23" s="228"/>
      <c r="JPR23" s="228"/>
      <c r="JPS23" s="228"/>
      <c r="JPT23" s="228"/>
      <c r="JPU23" s="228"/>
      <c r="JPV23" s="228"/>
      <c r="JPW23" s="226"/>
      <c r="JPX23" s="226"/>
      <c r="JPY23" s="224"/>
      <c r="JPZ23" s="225"/>
      <c r="JQA23" s="226"/>
      <c r="JQB23" s="227"/>
      <c r="JQC23" s="228"/>
      <c r="JQD23" s="228"/>
      <c r="JQE23" s="228"/>
      <c r="JQF23" s="228"/>
      <c r="JQG23" s="228"/>
      <c r="JQH23" s="228"/>
      <c r="JQI23" s="226"/>
      <c r="JQJ23" s="226"/>
      <c r="JQK23" s="224"/>
      <c r="JQL23" s="225"/>
      <c r="JQM23" s="226"/>
      <c r="JQN23" s="227"/>
      <c r="JQO23" s="228"/>
      <c r="JQP23" s="228"/>
      <c r="JQQ23" s="228"/>
      <c r="JQR23" s="228"/>
      <c r="JQS23" s="228"/>
      <c r="JQT23" s="228"/>
      <c r="JQU23" s="226"/>
      <c r="JQV23" s="226"/>
      <c r="JQW23" s="224"/>
      <c r="JQX23" s="225"/>
      <c r="JQY23" s="226"/>
      <c r="JQZ23" s="227"/>
      <c r="JRA23" s="228"/>
      <c r="JRB23" s="228"/>
      <c r="JRC23" s="228"/>
      <c r="JRD23" s="228"/>
      <c r="JRE23" s="228"/>
      <c r="JRF23" s="228"/>
      <c r="JRG23" s="226"/>
      <c r="JRH23" s="226"/>
      <c r="JRI23" s="224"/>
      <c r="JRJ23" s="225"/>
      <c r="JRK23" s="226"/>
      <c r="JRL23" s="227"/>
      <c r="JRM23" s="228"/>
      <c r="JRN23" s="228"/>
      <c r="JRO23" s="228"/>
      <c r="JRP23" s="228"/>
      <c r="JRQ23" s="228"/>
      <c r="JRR23" s="228"/>
      <c r="JRS23" s="226"/>
      <c r="JRT23" s="226"/>
      <c r="JRU23" s="224"/>
      <c r="JRV23" s="225"/>
      <c r="JRW23" s="226"/>
      <c r="JRX23" s="227"/>
      <c r="JRY23" s="228"/>
      <c r="JRZ23" s="228"/>
      <c r="JSA23" s="228"/>
      <c r="JSB23" s="228"/>
      <c r="JSC23" s="228"/>
      <c r="JSD23" s="228"/>
      <c r="JSE23" s="226"/>
      <c r="JSF23" s="226"/>
      <c r="JSG23" s="224"/>
      <c r="JSH23" s="225"/>
      <c r="JSI23" s="226"/>
      <c r="JSJ23" s="227"/>
      <c r="JSK23" s="228"/>
      <c r="JSL23" s="228"/>
      <c r="JSM23" s="228"/>
      <c r="JSN23" s="228"/>
      <c r="JSO23" s="228"/>
      <c r="JSP23" s="228"/>
      <c r="JSQ23" s="226"/>
      <c r="JSR23" s="226"/>
      <c r="JSS23" s="224"/>
      <c r="JST23" s="225"/>
      <c r="JSU23" s="226"/>
      <c r="JSV23" s="227"/>
      <c r="JSW23" s="228"/>
      <c r="JSX23" s="228"/>
      <c r="JSY23" s="228"/>
      <c r="JSZ23" s="228"/>
      <c r="JTA23" s="228"/>
      <c r="JTB23" s="228"/>
      <c r="JTC23" s="226"/>
      <c r="JTD23" s="226"/>
      <c r="JTE23" s="224"/>
      <c r="JTF23" s="225"/>
      <c r="JTG23" s="226"/>
      <c r="JTH23" s="227"/>
      <c r="JTI23" s="228"/>
      <c r="JTJ23" s="228"/>
      <c r="JTK23" s="228"/>
      <c r="JTL23" s="228"/>
      <c r="JTM23" s="228"/>
      <c r="JTN23" s="228"/>
      <c r="JTO23" s="226"/>
      <c r="JTP23" s="226"/>
      <c r="JTQ23" s="224"/>
      <c r="JTR23" s="225"/>
      <c r="JTS23" s="226"/>
      <c r="JTT23" s="227"/>
      <c r="JTU23" s="228"/>
      <c r="JTV23" s="228"/>
      <c r="JTW23" s="228"/>
      <c r="JTX23" s="228"/>
      <c r="JTY23" s="228"/>
      <c r="JTZ23" s="228"/>
      <c r="JUA23" s="226"/>
      <c r="JUB23" s="226"/>
      <c r="JUC23" s="224"/>
      <c r="JUD23" s="225"/>
      <c r="JUE23" s="226"/>
      <c r="JUF23" s="227"/>
      <c r="JUG23" s="228"/>
      <c r="JUH23" s="228"/>
      <c r="JUI23" s="228"/>
      <c r="JUJ23" s="228"/>
      <c r="JUK23" s="228"/>
      <c r="JUL23" s="228"/>
      <c r="JUM23" s="226"/>
      <c r="JUN23" s="226"/>
      <c r="JUO23" s="224"/>
      <c r="JUP23" s="225"/>
      <c r="JUQ23" s="226"/>
      <c r="JUR23" s="227"/>
      <c r="JUS23" s="228"/>
      <c r="JUT23" s="228"/>
      <c r="JUU23" s="228"/>
      <c r="JUV23" s="228"/>
      <c r="JUW23" s="228"/>
      <c r="JUX23" s="228"/>
      <c r="JUY23" s="226"/>
      <c r="JUZ23" s="226"/>
      <c r="JVA23" s="224"/>
      <c r="JVB23" s="225"/>
      <c r="JVC23" s="226"/>
      <c r="JVD23" s="227"/>
      <c r="JVE23" s="228"/>
      <c r="JVF23" s="228"/>
      <c r="JVG23" s="228"/>
      <c r="JVH23" s="228"/>
      <c r="JVI23" s="228"/>
      <c r="JVJ23" s="228"/>
      <c r="JVK23" s="226"/>
      <c r="JVL23" s="226"/>
      <c r="JVM23" s="224"/>
      <c r="JVN23" s="225"/>
      <c r="JVO23" s="226"/>
      <c r="JVP23" s="227"/>
      <c r="JVQ23" s="228"/>
      <c r="JVR23" s="228"/>
      <c r="JVS23" s="228"/>
      <c r="JVT23" s="228"/>
      <c r="JVU23" s="228"/>
      <c r="JVV23" s="228"/>
      <c r="JVW23" s="226"/>
      <c r="JVX23" s="226"/>
      <c r="JVY23" s="224"/>
      <c r="JVZ23" s="225"/>
      <c r="JWA23" s="226"/>
      <c r="JWB23" s="227"/>
      <c r="JWC23" s="228"/>
      <c r="JWD23" s="228"/>
      <c r="JWE23" s="228"/>
      <c r="JWF23" s="228"/>
      <c r="JWG23" s="228"/>
      <c r="JWH23" s="228"/>
      <c r="JWI23" s="226"/>
      <c r="JWJ23" s="226"/>
      <c r="JWK23" s="224"/>
      <c r="JWL23" s="225"/>
      <c r="JWM23" s="226"/>
      <c r="JWN23" s="227"/>
      <c r="JWO23" s="228"/>
      <c r="JWP23" s="228"/>
      <c r="JWQ23" s="228"/>
      <c r="JWR23" s="228"/>
      <c r="JWS23" s="228"/>
      <c r="JWT23" s="228"/>
      <c r="JWU23" s="226"/>
      <c r="JWV23" s="226"/>
      <c r="JWW23" s="224"/>
      <c r="JWX23" s="225"/>
      <c r="JWY23" s="226"/>
      <c r="JWZ23" s="227"/>
      <c r="JXA23" s="228"/>
      <c r="JXB23" s="228"/>
      <c r="JXC23" s="228"/>
      <c r="JXD23" s="228"/>
      <c r="JXE23" s="228"/>
      <c r="JXF23" s="228"/>
      <c r="JXG23" s="226"/>
      <c r="JXH23" s="226"/>
      <c r="JXI23" s="224"/>
      <c r="JXJ23" s="225"/>
      <c r="JXK23" s="226"/>
      <c r="JXL23" s="227"/>
      <c r="JXM23" s="228"/>
      <c r="JXN23" s="228"/>
      <c r="JXO23" s="228"/>
      <c r="JXP23" s="228"/>
      <c r="JXQ23" s="228"/>
      <c r="JXR23" s="228"/>
      <c r="JXS23" s="226"/>
      <c r="JXT23" s="226"/>
      <c r="JXU23" s="224"/>
      <c r="JXV23" s="225"/>
      <c r="JXW23" s="226"/>
      <c r="JXX23" s="227"/>
      <c r="JXY23" s="228"/>
      <c r="JXZ23" s="228"/>
      <c r="JYA23" s="228"/>
      <c r="JYB23" s="228"/>
      <c r="JYC23" s="228"/>
      <c r="JYD23" s="228"/>
      <c r="JYE23" s="226"/>
      <c r="JYF23" s="226"/>
      <c r="JYG23" s="224"/>
      <c r="JYH23" s="225"/>
      <c r="JYI23" s="226"/>
      <c r="JYJ23" s="227"/>
      <c r="JYK23" s="228"/>
      <c r="JYL23" s="228"/>
      <c r="JYM23" s="228"/>
      <c r="JYN23" s="228"/>
      <c r="JYO23" s="228"/>
      <c r="JYP23" s="228"/>
      <c r="JYQ23" s="226"/>
      <c r="JYR23" s="226"/>
      <c r="JYS23" s="224"/>
      <c r="JYT23" s="225"/>
      <c r="JYU23" s="226"/>
      <c r="JYV23" s="227"/>
      <c r="JYW23" s="228"/>
      <c r="JYX23" s="228"/>
      <c r="JYY23" s="228"/>
      <c r="JYZ23" s="228"/>
      <c r="JZA23" s="228"/>
      <c r="JZB23" s="228"/>
      <c r="JZC23" s="226"/>
      <c r="JZD23" s="226"/>
      <c r="JZE23" s="224"/>
      <c r="JZF23" s="225"/>
      <c r="JZG23" s="226"/>
      <c r="JZH23" s="227"/>
      <c r="JZI23" s="228"/>
      <c r="JZJ23" s="228"/>
      <c r="JZK23" s="228"/>
      <c r="JZL23" s="228"/>
      <c r="JZM23" s="228"/>
      <c r="JZN23" s="228"/>
      <c r="JZO23" s="226"/>
      <c r="JZP23" s="226"/>
      <c r="JZQ23" s="224"/>
      <c r="JZR23" s="225"/>
      <c r="JZS23" s="226"/>
      <c r="JZT23" s="227"/>
      <c r="JZU23" s="228"/>
      <c r="JZV23" s="228"/>
      <c r="JZW23" s="228"/>
      <c r="JZX23" s="228"/>
      <c r="JZY23" s="228"/>
      <c r="JZZ23" s="228"/>
      <c r="KAA23" s="226"/>
      <c r="KAB23" s="226"/>
      <c r="KAC23" s="224"/>
      <c r="KAD23" s="225"/>
      <c r="KAE23" s="226"/>
      <c r="KAF23" s="227"/>
      <c r="KAG23" s="228"/>
      <c r="KAH23" s="228"/>
      <c r="KAI23" s="228"/>
      <c r="KAJ23" s="228"/>
      <c r="KAK23" s="228"/>
      <c r="KAL23" s="228"/>
      <c r="KAM23" s="226"/>
      <c r="KAN23" s="226"/>
      <c r="KAO23" s="224"/>
      <c r="KAP23" s="225"/>
      <c r="KAQ23" s="226"/>
      <c r="KAR23" s="227"/>
      <c r="KAS23" s="228"/>
      <c r="KAT23" s="228"/>
      <c r="KAU23" s="228"/>
      <c r="KAV23" s="228"/>
      <c r="KAW23" s="228"/>
      <c r="KAX23" s="228"/>
      <c r="KAY23" s="226"/>
      <c r="KAZ23" s="226"/>
      <c r="KBA23" s="224"/>
      <c r="KBB23" s="225"/>
      <c r="KBC23" s="226"/>
      <c r="KBD23" s="227"/>
      <c r="KBE23" s="228"/>
      <c r="KBF23" s="228"/>
      <c r="KBG23" s="228"/>
      <c r="KBH23" s="228"/>
      <c r="KBI23" s="228"/>
      <c r="KBJ23" s="228"/>
      <c r="KBK23" s="226"/>
      <c r="KBL23" s="226"/>
      <c r="KBM23" s="224"/>
      <c r="KBN23" s="225"/>
      <c r="KBO23" s="226"/>
      <c r="KBP23" s="227"/>
      <c r="KBQ23" s="228"/>
      <c r="KBR23" s="228"/>
      <c r="KBS23" s="228"/>
      <c r="KBT23" s="228"/>
      <c r="KBU23" s="228"/>
      <c r="KBV23" s="228"/>
      <c r="KBW23" s="226"/>
      <c r="KBX23" s="226"/>
      <c r="KBY23" s="224"/>
      <c r="KBZ23" s="225"/>
      <c r="KCA23" s="226"/>
      <c r="KCB23" s="227"/>
      <c r="KCC23" s="228"/>
      <c r="KCD23" s="228"/>
      <c r="KCE23" s="228"/>
      <c r="KCF23" s="228"/>
      <c r="KCG23" s="228"/>
      <c r="KCH23" s="228"/>
      <c r="KCI23" s="226"/>
      <c r="KCJ23" s="226"/>
      <c r="KCK23" s="224"/>
      <c r="KCL23" s="225"/>
      <c r="KCM23" s="226"/>
      <c r="KCN23" s="227"/>
      <c r="KCO23" s="228"/>
      <c r="KCP23" s="228"/>
      <c r="KCQ23" s="228"/>
      <c r="KCR23" s="228"/>
      <c r="KCS23" s="228"/>
      <c r="KCT23" s="228"/>
      <c r="KCU23" s="226"/>
      <c r="KCV23" s="226"/>
      <c r="KCW23" s="224"/>
      <c r="KCX23" s="225"/>
      <c r="KCY23" s="226"/>
      <c r="KCZ23" s="227"/>
      <c r="KDA23" s="228"/>
      <c r="KDB23" s="228"/>
      <c r="KDC23" s="228"/>
      <c r="KDD23" s="228"/>
      <c r="KDE23" s="228"/>
      <c r="KDF23" s="228"/>
      <c r="KDG23" s="226"/>
      <c r="KDH23" s="226"/>
      <c r="KDI23" s="224"/>
      <c r="KDJ23" s="225"/>
      <c r="KDK23" s="226"/>
      <c r="KDL23" s="227"/>
      <c r="KDM23" s="228"/>
      <c r="KDN23" s="228"/>
      <c r="KDO23" s="228"/>
      <c r="KDP23" s="228"/>
      <c r="KDQ23" s="228"/>
      <c r="KDR23" s="228"/>
      <c r="KDS23" s="226"/>
      <c r="KDT23" s="226"/>
      <c r="KDU23" s="224"/>
      <c r="KDV23" s="225"/>
      <c r="KDW23" s="226"/>
      <c r="KDX23" s="227"/>
      <c r="KDY23" s="228"/>
      <c r="KDZ23" s="228"/>
      <c r="KEA23" s="228"/>
      <c r="KEB23" s="228"/>
      <c r="KEC23" s="228"/>
      <c r="KED23" s="228"/>
      <c r="KEE23" s="226"/>
      <c r="KEF23" s="226"/>
      <c r="KEG23" s="224"/>
      <c r="KEH23" s="225"/>
      <c r="KEI23" s="226"/>
      <c r="KEJ23" s="227"/>
      <c r="KEK23" s="228"/>
      <c r="KEL23" s="228"/>
      <c r="KEM23" s="228"/>
      <c r="KEN23" s="228"/>
      <c r="KEO23" s="228"/>
      <c r="KEP23" s="228"/>
      <c r="KEQ23" s="226"/>
      <c r="KER23" s="226"/>
      <c r="KES23" s="224"/>
      <c r="KET23" s="225"/>
      <c r="KEU23" s="226"/>
      <c r="KEV23" s="227"/>
      <c r="KEW23" s="228"/>
      <c r="KEX23" s="228"/>
      <c r="KEY23" s="228"/>
      <c r="KEZ23" s="228"/>
      <c r="KFA23" s="228"/>
      <c r="KFB23" s="228"/>
      <c r="KFC23" s="226"/>
      <c r="KFD23" s="226"/>
      <c r="KFE23" s="224"/>
      <c r="KFF23" s="225"/>
      <c r="KFG23" s="226"/>
      <c r="KFH23" s="227"/>
      <c r="KFI23" s="228"/>
      <c r="KFJ23" s="228"/>
      <c r="KFK23" s="228"/>
      <c r="KFL23" s="228"/>
      <c r="KFM23" s="228"/>
      <c r="KFN23" s="228"/>
      <c r="KFO23" s="226"/>
      <c r="KFP23" s="226"/>
      <c r="KFQ23" s="224"/>
      <c r="KFR23" s="225"/>
      <c r="KFS23" s="226"/>
      <c r="KFT23" s="227"/>
      <c r="KFU23" s="228"/>
      <c r="KFV23" s="228"/>
      <c r="KFW23" s="228"/>
      <c r="KFX23" s="228"/>
      <c r="KFY23" s="228"/>
      <c r="KFZ23" s="228"/>
      <c r="KGA23" s="226"/>
      <c r="KGB23" s="226"/>
      <c r="KGC23" s="224"/>
      <c r="KGD23" s="225"/>
      <c r="KGE23" s="226"/>
      <c r="KGF23" s="227"/>
      <c r="KGG23" s="228"/>
      <c r="KGH23" s="228"/>
      <c r="KGI23" s="228"/>
      <c r="KGJ23" s="228"/>
      <c r="KGK23" s="228"/>
      <c r="KGL23" s="228"/>
      <c r="KGM23" s="226"/>
      <c r="KGN23" s="226"/>
      <c r="KGO23" s="224"/>
      <c r="KGP23" s="225"/>
      <c r="KGQ23" s="226"/>
      <c r="KGR23" s="227"/>
      <c r="KGS23" s="228"/>
      <c r="KGT23" s="228"/>
      <c r="KGU23" s="228"/>
      <c r="KGV23" s="228"/>
      <c r="KGW23" s="228"/>
      <c r="KGX23" s="228"/>
      <c r="KGY23" s="226"/>
      <c r="KGZ23" s="226"/>
      <c r="KHA23" s="224"/>
      <c r="KHB23" s="225"/>
      <c r="KHC23" s="226"/>
      <c r="KHD23" s="227"/>
      <c r="KHE23" s="228"/>
      <c r="KHF23" s="228"/>
      <c r="KHG23" s="228"/>
      <c r="KHH23" s="228"/>
      <c r="KHI23" s="228"/>
      <c r="KHJ23" s="228"/>
      <c r="KHK23" s="226"/>
      <c r="KHL23" s="226"/>
      <c r="KHM23" s="224"/>
      <c r="KHN23" s="225"/>
      <c r="KHO23" s="226"/>
      <c r="KHP23" s="227"/>
      <c r="KHQ23" s="228"/>
      <c r="KHR23" s="228"/>
      <c r="KHS23" s="228"/>
      <c r="KHT23" s="228"/>
      <c r="KHU23" s="228"/>
      <c r="KHV23" s="228"/>
      <c r="KHW23" s="226"/>
      <c r="KHX23" s="226"/>
      <c r="KHY23" s="224"/>
      <c r="KHZ23" s="225"/>
      <c r="KIA23" s="226"/>
      <c r="KIB23" s="227"/>
      <c r="KIC23" s="228"/>
      <c r="KID23" s="228"/>
      <c r="KIE23" s="228"/>
      <c r="KIF23" s="228"/>
      <c r="KIG23" s="228"/>
      <c r="KIH23" s="228"/>
      <c r="KII23" s="226"/>
      <c r="KIJ23" s="226"/>
      <c r="KIK23" s="224"/>
      <c r="KIL23" s="225"/>
      <c r="KIM23" s="226"/>
      <c r="KIN23" s="227"/>
      <c r="KIO23" s="228"/>
      <c r="KIP23" s="228"/>
      <c r="KIQ23" s="228"/>
      <c r="KIR23" s="228"/>
      <c r="KIS23" s="228"/>
      <c r="KIT23" s="228"/>
      <c r="KIU23" s="226"/>
      <c r="KIV23" s="226"/>
      <c r="KIW23" s="224"/>
      <c r="KIX23" s="225"/>
      <c r="KIY23" s="226"/>
      <c r="KIZ23" s="227"/>
      <c r="KJA23" s="228"/>
      <c r="KJB23" s="228"/>
      <c r="KJC23" s="228"/>
      <c r="KJD23" s="228"/>
      <c r="KJE23" s="228"/>
      <c r="KJF23" s="228"/>
      <c r="KJG23" s="226"/>
      <c r="KJH23" s="226"/>
      <c r="KJI23" s="224"/>
      <c r="KJJ23" s="225"/>
      <c r="KJK23" s="226"/>
      <c r="KJL23" s="227"/>
      <c r="KJM23" s="228"/>
      <c r="KJN23" s="228"/>
      <c r="KJO23" s="228"/>
      <c r="KJP23" s="228"/>
      <c r="KJQ23" s="228"/>
      <c r="KJR23" s="228"/>
      <c r="KJS23" s="226"/>
      <c r="KJT23" s="226"/>
      <c r="KJU23" s="224"/>
      <c r="KJV23" s="225"/>
      <c r="KJW23" s="226"/>
      <c r="KJX23" s="227"/>
      <c r="KJY23" s="228"/>
      <c r="KJZ23" s="228"/>
      <c r="KKA23" s="228"/>
      <c r="KKB23" s="228"/>
      <c r="KKC23" s="228"/>
      <c r="KKD23" s="228"/>
      <c r="KKE23" s="226"/>
      <c r="KKF23" s="226"/>
      <c r="KKG23" s="224"/>
      <c r="KKH23" s="225"/>
      <c r="KKI23" s="226"/>
      <c r="KKJ23" s="227"/>
      <c r="KKK23" s="228"/>
      <c r="KKL23" s="228"/>
      <c r="KKM23" s="228"/>
      <c r="KKN23" s="228"/>
      <c r="KKO23" s="228"/>
      <c r="KKP23" s="228"/>
      <c r="KKQ23" s="226"/>
      <c r="KKR23" s="226"/>
      <c r="KKS23" s="224"/>
      <c r="KKT23" s="225"/>
      <c r="KKU23" s="226"/>
      <c r="KKV23" s="227"/>
      <c r="KKW23" s="228"/>
      <c r="KKX23" s="228"/>
      <c r="KKY23" s="228"/>
      <c r="KKZ23" s="228"/>
      <c r="KLA23" s="228"/>
      <c r="KLB23" s="228"/>
      <c r="KLC23" s="226"/>
      <c r="KLD23" s="226"/>
      <c r="KLE23" s="224"/>
      <c r="KLF23" s="225"/>
      <c r="KLG23" s="226"/>
      <c r="KLH23" s="227"/>
      <c r="KLI23" s="228"/>
      <c r="KLJ23" s="228"/>
      <c r="KLK23" s="228"/>
      <c r="KLL23" s="228"/>
      <c r="KLM23" s="228"/>
      <c r="KLN23" s="228"/>
      <c r="KLO23" s="226"/>
      <c r="KLP23" s="226"/>
      <c r="KLQ23" s="224"/>
      <c r="KLR23" s="225"/>
      <c r="KLS23" s="226"/>
      <c r="KLT23" s="227"/>
      <c r="KLU23" s="228"/>
      <c r="KLV23" s="228"/>
      <c r="KLW23" s="228"/>
      <c r="KLX23" s="228"/>
      <c r="KLY23" s="228"/>
      <c r="KLZ23" s="228"/>
      <c r="KMA23" s="226"/>
      <c r="KMB23" s="226"/>
      <c r="KMC23" s="224"/>
      <c r="KMD23" s="225"/>
      <c r="KME23" s="226"/>
      <c r="KMF23" s="227"/>
      <c r="KMG23" s="228"/>
      <c r="KMH23" s="228"/>
      <c r="KMI23" s="228"/>
      <c r="KMJ23" s="228"/>
      <c r="KMK23" s="228"/>
      <c r="KML23" s="228"/>
      <c r="KMM23" s="226"/>
      <c r="KMN23" s="226"/>
      <c r="KMO23" s="224"/>
      <c r="KMP23" s="225"/>
      <c r="KMQ23" s="226"/>
      <c r="KMR23" s="227"/>
      <c r="KMS23" s="228"/>
      <c r="KMT23" s="228"/>
      <c r="KMU23" s="228"/>
      <c r="KMV23" s="228"/>
      <c r="KMW23" s="228"/>
      <c r="KMX23" s="228"/>
      <c r="KMY23" s="226"/>
      <c r="KMZ23" s="226"/>
      <c r="KNA23" s="224"/>
      <c r="KNB23" s="225"/>
      <c r="KNC23" s="226"/>
      <c r="KND23" s="227"/>
      <c r="KNE23" s="228"/>
      <c r="KNF23" s="228"/>
      <c r="KNG23" s="228"/>
      <c r="KNH23" s="228"/>
      <c r="KNI23" s="228"/>
      <c r="KNJ23" s="228"/>
      <c r="KNK23" s="226"/>
      <c r="KNL23" s="226"/>
      <c r="KNM23" s="224"/>
      <c r="KNN23" s="225"/>
      <c r="KNO23" s="226"/>
      <c r="KNP23" s="227"/>
      <c r="KNQ23" s="228"/>
      <c r="KNR23" s="228"/>
      <c r="KNS23" s="228"/>
      <c r="KNT23" s="228"/>
      <c r="KNU23" s="228"/>
      <c r="KNV23" s="228"/>
      <c r="KNW23" s="226"/>
      <c r="KNX23" s="226"/>
      <c r="KNY23" s="224"/>
      <c r="KNZ23" s="225"/>
      <c r="KOA23" s="226"/>
      <c r="KOB23" s="227"/>
      <c r="KOC23" s="228"/>
      <c r="KOD23" s="228"/>
      <c r="KOE23" s="228"/>
      <c r="KOF23" s="228"/>
      <c r="KOG23" s="228"/>
      <c r="KOH23" s="228"/>
      <c r="KOI23" s="226"/>
      <c r="KOJ23" s="226"/>
      <c r="KOK23" s="224"/>
      <c r="KOL23" s="225"/>
      <c r="KOM23" s="226"/>
      <c r="KON23" s="227"/>
      <c r="KOO23" s="228"/>
      <c r="KOP23" s="228"/>
      <c r="KOQ23" s="228"/>
      <c r="KOR23" s="228"/>
      <c r="KOS23" s="228"/>
      <c r="KOT23" s="228"/>
      <c r="KOU23" s="226"/>
      <c r="KOV23" s="226"/>
      <c r="KOW23" s="224"/>
      <c r="KOX23" s="225"/>
      <c r="KOY23" s="226"/>
      <c r="KOZ23" s="227"/>
      <c r="KPA23" s="228"/>
      <c r="KPB23" s="228"/>
      <c r="KPC23" s="228"/>
      <c r="KPD23" s="228"/>
      <c r="KPE23" s="228"/>
      <c r="KPF23" s="228"/>
      <c r="KPG23" s="226"/>
      <c r="KPH23" s="226"/>
      <c r="KPI23" s="224"/>
      <c r="KPJ23" s="225"/>
      <c r="KPK23" s="226"/>
      <c r="KPL23" s="227"/>
      <c r="KPM23" s="228"/>
      <c r="KPN23" s="228"/>
      <c r="KPO23" s="228"/>
      <c r="KPP23" s="228"/>
      <c r="KPQ23" s="228"/>
      <c r="KPR23" s="228"/>
      <c r="KPS23" s="226"/>
      <c r="KPT23" s="226"/>
      <c r="KPU23" s="224"/>
      <c r="KPV23" s="225"/>
      <c r="KPW23" s="226"/>
      <c r="KPX23" s="227"/>
      <c r="KPY23" s="228"/>
      <c r="KPZ23" s="228"/>
      <c r="KQA23" s="228"/>
      <c r="KQB23" s="228"/>
      <c r="KQC23" s="228"/>
      <c r="KQD23" s="228"/>
      <c r="KQE23" s="226"/>
      <c r="KQF23" s="226"/>
      <c r="KQG23" s="224"/>
      <c r="KQH23" s="225"/>
      <c r="KQI23" s="226"/>
      <c r="KQJ23" s="227"/>
      <c r="KQK23" s="228"/>
      <c r="KQL23" s="228"/>
      <c r="KQM23" s="228"/>
      <c r="KQN23" s="228"/>
      <c r="KQO23" s="228"/>
      <c r="KQP23" s="228"/>
      <c r="KQQ23" s="226"/>
      <c r="KQR23" s="226"/>
      <c r="KQS23" s="224"/>
      <c r="KQT23" s="225"/>
      <c r="KQU23" s="226"/>
      <c r="KQV23" s="227"/>
      <c r="KQW23" s="228"/>
      <c r="KQX23" s="228"/>
      <c r="KQY23" s="228"/>
      <c r="KQZ23" s="228"/>
      <c r="KRA23" s="228"/>
      <c r="KRB23" s="228"/>
      <c r="KRC23" s="226"/>
      <c r="KRD23" s="226"/>
      <c r="KRE23" s="224"/>
      <c r="KRF23" s="225"/>
      <c r="KRG23" s="226"/>
      <c r="KRH23" s="227"/>
      <c r="KRI23" s="228"/>
      <c r="KRJ23" s="228"/>
      <c r="KRK23" s="228"/>
      <c r="KRL23" s="228"/>
      <c r="KRM23" s="228"/>
      <c r="KRN23" s="228"/>
      <c r="KRO23" s="226"/>
      <c r="KRP23" s="226"/>
      <c r="KRQ23" s="224"/>
      <c r="KRR23" s="225"/>
      <c r="KRS23" s="226"/>
      <c r="KRT23" s="227"/>
      <c r="KRU23" s="228"/>
      <c r="KRV23" s="228"/>
      <c r="KRW23" s="228"/>
      <c r="KRX23" s="228"/>
      <c r="KRY23" s="228"/>
      <c r="KRZ23" s="228"/>
      <c r="KSA23" s="226"/>
      <c r="KSB23" s="226"/>
      <c r="KSC23" s="224"/>
      <c r="KSD23" s="225"/>
      <c r="KSE23" s="226"/>
      <c r="KSF23" s="227"/>
      <c r="KSG23" s="228"/>
      <c r="KSH23" s="228"/>
      <c r="KSI23" s="228"/>
      <c r="KSJ23" s="228"/>
      <c r="KSK23" s="228"/>
      <c r="KSL23" s="228"/>
      <c r="KSM23" s="226"/>
      <c r="KSN23" s="226"/>
      <c r="KSO23" s="224"/>
      <c r="KSP23" s="225"/>
      <c r="KSQ23" s="226"/>
      <c r="KSR23" s="227"/>
      <c r="KSS23" s="228"/>
      <c r="KST23" s="228"/>
      <c r="KSU23" s="228"/>
      <c r="KSV23" s="228"/>
      <c r="KSW23" s="228"/>
      <c r="KSX23" s="228"/>
      <c r="KSY23" s="226"/>
      <c r="KSZ23" s="226"/>
      <c r="KTA23" s="224"/>
      <c r="KTB23" s="225"/>
      <c r="KTC23" s="226"/>
      <c r="KTD23" s="227"/>
      <c r="KTE23" s="228"/>
      <c r="KTF23" s="228"/>
      <c r="KTG23" s="228"/>
      <c r="KTH23" s="228"/>
      <c r="KTI23" s="228"/>
      <c r="KTJ23" s="228"/>
      <c r="KTK23" s="226"/>
      <c r="KTL23" s="226"/>
      <c r="KTM23" s="224"/>
      <c r="KTN23" s="225"/>
      <c r="KTO23" s="226"/>
      <c r="KTP23" s="227"/>
      <c r="KTQ23" s="228"/>
      <c r="KTR23" s="228"/>
      <c r="KTS23" s="228"/>
      <c r="KTT23" s="228"/>
      <c r="KTU23" s="228"/>
      <c r="KTV23" s="228"/>
      <c r="KTW23" s="226"/>
      <c r="KTX23" s="226"/>
      <c r="KTY23" s="224"/>
      <c r="KTZ23" s="225"/>
      <c r="KUA23" s="226"/>
      <c r="KUB23" s="227"/>
      <c r="KUC23" s="228"/>
      <c r="KUD23" s="228"/>
      <c r="KUE23" s="228"/>
      <c r="KUF23" s="228"/>
      <c r="KUG23" s="228"/>
      <c r="KUH23" s="228"/>
      <c r="KUI23" s="226"/>
      <c r="KUJ23" s="226"/>
      <c r="KUK23" s="224"/>
      <c r="KUL23" s="225"/>
      <c r="KUM23" s="226"/>
      <c r="KUN23" s="227"/>
      <c r="KUO23" s="228"/>
      <c r="KUP23" s="228"/>
      <c r="KUQ23" s="228"/>
      <c r="KUR23" s="228"/>
      <c r="KUS23" s="228"/>
      <c r="KUT23" s="228"/>
      <c r="KUU23" s="226"/>
      <c r="KUV23" s="226"/>
      <c r="KUW23" s="224"/>
      <c r="KUX23" s="225"/>
      <c r="KUY23" s="226"/>
      <c r="KUZ23" s="227"/>
      <c r="KVA23" s="228"/>
      <c r="KVB23" s="228"/>
      <c r="KVC23" s="228"/>
      <c r="KVD23" s="228"/>
      <c r="KVE23" s="228"/>
      <c r="KVF23" s="228"/>
      <c r="KVG23" s="226"/>
      <c r="KVH23" s="226"/>
      <c r="KVI23" s="224"/>
      <c r="KVJ23" s="225"/>
      <c r="KVK23" s="226"/>
      <c r="KVL23" s="227"/>
      <c r="KVM23" s="228"/>
      <c r="KVN23" s="228"/>
      <c r="KVO23" s="228"/>
      <c r="KVP23" s="228"/>
      <c r="KVQ23" s="228"/>
      <c r="KVR23" s="228"/>
      <c r="KVS23" s="226"/>
      <c r="KVT23" s="226"/>
      <c r="KVU23" s="224"/>
      <c r="KVV23" s="225"/>
      <c r="KVW23" s="226"/>
      <c r="KVX23" s="227"/>
      <c r="KVY23" s="228"/>
      <c r="KVZ23" s="228"/>
      <c r="KWA23" s="228"/>
      <c r="KWB23" s="228"/>
      <c r="KWC23" s="228"/>
      <c r="KWD23" s="228"/>
      <c r="KWE23" s="226"/>
      <c r="KWF23" s="226"/>
      <c r="KWG23" s="224"/>
      <c r="KWH23" s="225"/>
      <c r="KWI23" s="226"/>
      <c r="KWJ23" s="227"/>
      <c r="KWK23" s="228"/>
      <c r="KWL23" s="228"/>
      <c r="KWM23" s="228"/>
      <c r="KWN23" s="228"/>
      <c r="KWO23" s="228"/>
      <c r="KWP23" s="228"/>
      <c r="KWQ23" s="226"/>
      <c r="KWR23" s="226"/>
      <c r="KWS23" s="224"/>
      <c r="KWT23" s="225"/>
      <c r="KWU23" s="226"/>
      <c r="KWV23" s="227"/>
      <c r="KWW23" s="228"/>
      <c r="KWX23" s="228"/>
      <c r="KWY23" s="228"/>
      <c r="KWZ23" s="228"/>
      <c r="KXA23" s="228"/>
      <c r="KXB23" s="228"/>
      <c r="KXC23" s="226"/>
      <c r="KXD23" s="226"/>
      <c r="KXE23" s="224"/>
      <c r="KXF23" s="225"/>
      <c r="KXG23" s="226"/>
      <c r="KXH23" s="227"/>
      <c r="KXI23" s="228"/>
      <c r="KXJ23" s="228"/>
      <c r="KXK23" s="228"/>
      <c r="KXL23" s="228"/>
      <c r="KXM23" s="228"/>
      <c r="KXN23" s="228"/>
      <c r="KXO23" s="226"/>
      <c r="KXP23" s="226"/>
      <c r="KXQ23" s="224"/>
      <c r="KXR23" s="225"/>
      <c r="KXS23" s="226"/>
      <c r="KXT23" s="227"/>
      <c r="KXU23" s="228"/>
      <c r="KXV23" s="228"/>
      <c r="KXW23" s="228"/>
      <c r="KXX23" s="228"/>
      <c r="KXY23" s="228"/>
      <c r="KXZ23" s="228"/>
      <c r="KYA23" s="226"/>
      <c r="KYB23" s="226"/>
      <c r="KYC23" s="224"/>
      <c r="KYD23" s="225"/>
      <c r="KYE23" s="226"/>
      <c r="KYF23" s="227"/>
      <c r="KYG23" s="228"/>
      <c r="KYH23" s="228"/>
      <c r="KYI23" s="228"/>
      <c r="KYJ23" s="228"/>
      <c r="KYK23" s="228"/>
      <c r="KYL23" s="228"/>
      <c r="KYM23" s="226"/>
      <c r="KYN23" s="226"/>
      <c r="KYO23" s="224"/>
      <c r="KYP23" s="225"/>
      <c r="KYQ23" s="226"/>
      <c r="KYR23" s="227"/>
      <c r="KYS23" s="228"/>
      <c r="KYT23" s="228"/>
      <c r="KYU23" s="228"/>
      <c r="KYV23" s="228"/>
      <c r="KYW23" s="228"/>
      <c r="KYX23" s="228"/>
      <c r="KYY23" s="226"/>
      <c r="KYZ23" s="226"/>
      <c r="KZA23" s="224"/>
      <c r="KZB23" s="225"/>
      <c r="KZC23" s="226"/>
      <c r="KZD23" s="227"/>
      <c r="KZE23" s="228"/>
      <c r="KZF23" s="228"/>
      <c r="KZG23" s="228"/>
      <c r="KZH23" s="228"/>
      <c r="KZI23" s="228"/>
      <c r="KZJ23" s="228"/>
      <c r="KZK23" s="226"/>
      <c r="KZL23" s="226"/>
      <c r="KZM23" s="224"/>
      <c r="KZN23" s="225"/>
      <c r="KZO23" s="226"/>
      <c r="KZP23" s="227"/>
      <c r="KZQ23" s="228"/>
      <c r="KZR23" s="228"/>
      <c r="KZS23" s="228"/>
      <c r="KZT23" s="228"/>
      <c r="KZU23" s="228"/>
      <c r="KZV23" s="228"/>
      <c r="KZW23" s="226"/>
      <c r="KZX23" s="226"/>
      <c r="KZY23" s="224"/>
      <c r="KZZ23" s="225"/>
      <c r="LAA23" s="226"/>
      <c r="LAB23" s="227"/>
      <c r="LAC23" s="228"/>
      <c r="LAD23" s="228"/>
      <c r="LAE23" s="228"/>
      <c r="LAF23" s="228"/>
      <c r="LAG23" s="228"/>
      <c r="LAH23" s="228"/>
      <c r="LAI23" s="226"/>
      <c r="LAJ23" s="226"/>
      <c r="LAK23" s="224"/>
      <c r="LAL23" s="225"/>
      <c r="LAM23" s="226"/>
      <c r="LAN23" s="227"/>
      <c r="LAO23" s="228"/>
      <c r="LAP23" s="228"/>
      <c r="LAQ23" s="228"/>
      <c r="LAR23" s="228"/>
      <c r="LAS23" s="228"/>
      <c r="LAT23" s="228"/>
      <c r="LAU23" s="226"/>
      <c r="LAV23" s="226"/>
      <c r="LAW23" s="224"/>
      <c r="LAX23" s="225"/>
      <c r="LAY23" s="226"/>
      <c r="LAZ23" s="227"/>
      <c r="LBA23" s="228"/>
      <c r="LBB23" s="228"/>
      <c r="LBC23" s="228"/>
      <c r="LBD23" s="228"/>
      <c r="LBE23" s="228"/>
      <c r="LBF23" s="228"/>
      <c r="LBG23" s="226"/>
      <c r="LBH23" s="226"/>
      <c r="LBI23" s="224"/>
      <c r="LBJ23" s="225"/>
      <c r="LBK23" s="226"/>
      <c r="LBL23" s="227"/>
      <c r="LBM23" s="228"/>
      <c r="LBN23" s="228"/>
      <c r="LBO23" s="228"/>
      <c r="LBP23" s="228"/>
      <c r="LBQ23" s="228"/>
      <c r="LBR23" s="228"/>
      <c r="LBS23" s="226"/>
      <c r="LBT23" s="226"/>
      <c r="LBU23" s="224"/>
      <c r="LBV23" s="225"/>
      <c r="LBW23" s="226"/>
      <c r="LBX23" s="227"/>
      <c r="LBY23" s="228"/>
      <c r="LBZ23" s="228"/>
      <c r="LCA23" s="228"/>
      <c r="LCB23" s="228"/>
      <c r="LCC23" s="228"/>
      <c r="LCD23" s="228"/>
      <c r="LCE23" s="226"/>
      <c r="LCF23" s="226"/>
      <c r="LCG23" s="224"/>
      <c r="LCH23" s="225"/>
      <c r="LCI23" s="226"/>
      <c r="LCJ23" s="227"/>
      <c r="LCK23" s="228"/>
      <c r="LCL23" s="228"/>
      <c r="LCM23" s="228"/>
      <c r="LCN23" s="228"/>
      <c r="LCO23" s="228"/>
      <c r="LCP23" s="228"/>
      <c r="LCQ23" s="226"/>
      <c r="LCR23" s="226"/>
      <c r="LCS23" s="224"/>
      <c r="LCT23" s="225"/>
      <c r="LCU23" s="226"/>
      <c r="LCV23" s="227"/>
      <c r="LCW23" s="228"/>
      <c r="LCX23" s="228"/>
      <c r="LCY23" s="228"/>
      <c r="LCZ23" s="228"/>
      <c r="LDA23" s="228"/>
      <c r="LDB23" s="228"/>
      <c r="LDC23" s="226"/>
      <c r="LDD23" s="226"/>
      <c r="LDE23" s="224"/>
      <c r="LDF23" s="225"/>
      <c r="LDG23" s="226"/>
      <c r="LDH23" s="227"/>
      <c r="LDI23" s="228"/>
      <c r="LDJ23" s="228"/>
      <c r="LDK23" s="228"/>
      <c r="LDL23" s="228"/>
      <c r="LDM23" s="228"/>
      <c r="LDN23" s="228"/>
      <c r="LDO23" s="226"/>
      <c r="LDP23" s="226"/>
      <c r="LDQ23" s="224"/>
      <c r="LDR23" s="225"/>
      <c r="LDS23" s="226"/>
      <c r="LDT23" s="227"/>
      <c r="LDU23" s="228"/>
      <c r="LDV23" s="228"/>
      <c r="LDW23" s="228"/>
      <c r="LDX23" s="228"/>
      <c r="LDY23" s="228"/>
      <c r="LDZ23" s="228"/>
      <c r="LEA23" s="226"/>
      <c r="LEB23" s="226"/>
      <c r="LEC23" s="224"/>
      <c r="LED23" s="225"/>
      <c r="LEE23" s="226"/>
      <c r="LEF23" s="227"/>
      <c r="LEG23" s="228"/>
      <c r="LEH23" s="228"/>
      <c r="LEI23" s="228"/>
      <c r="LEJ23" s="228"/>
      <c r="LEK23" s="228"/>
      <c r="LEL23" s="228"/>
      <c r="LEM23" s="226"/>
      <c r="LEN23" s="226"/>
      <c r="LEO23" s="224"/>
      <c r="LEP23" s="225"/>
      <c r="LEQ23" s="226"/>
      <c r="LER23" s="227"/>
      <c r="LES23" s="228"/>
      <c r="LET23" s="228"/>
      <c r="LEU23" s="228"/>
      <c r="LEV23" s="228"/>
      <c r="LEW23" s="228"/>
      <c r="LEX23" s="228"/>
      <c r="LEY23" s="226"/>
      <c r="LEZ23" s="226"/>
      <c r="LFA23" s="224"/>
      <c r="LFB23" s="225"/>
      <c r="LFC23" s="226"/>
      <c r="LFD23" s="227"/>
      <c r="LFE23" s="228"/>
      <c r="LFF23" s="228"/>
      <c r="LFG23" s="228"/>
      <c r="LFH23" s="228"/>
      <c r="LFI23" s="228"/>
      <c r="LFJ23" s="228"/>
      <c r="LFK23" s="226"/>
      <c r="LFL23" s="226"/>
      <c r="LFM23" s="224"/>
      <c r="LFN23" s="225"/>
      <c r="LFO23" s="226"/>
      <c r="LFP23" s="227"/>
      <c r="LFQ23" s="228"/>
      <c r="LFR23" s="228"/>
      <c r="LFS23" s="228"/>
      <c r="LFT23" s="228"/>
      <c r="LFU23" s="228"/>
      <c r="LFV23" s="228"/>
      <c r="LFW23" s="226"/>
      <c r="LFX23" s="226"/>
      <c r="LFY23" s="224"/>
      <c r="LFZ23" s="225"/>
      <c r="LGA23" s="226"/>
      <c r="LGB23" s="227"/>
      <c r="LGC23" s="228"/>
      <c r="LGD23" s="228"/>
      <c r="LGE23" s="228"/>
      <c r="LGF23" s="228"/>
      <c r="LGG23" s="228"/>
      <c r="LGH23" s="228"/>
      <c r="LGI23" s="226"/>
      <c r="LGJ23" s="226"/>
      <c r="LGK23" s="224"/>
      <c r="LGL23" s="225"/>
      <c r="LGM23" s="226"/>
      <c r="LGN23" s="227"/>
      <c r="LGO23" s="228"/>
      <c r="LGP23" s="228"/>
      <c r="LGQ23" s="228"/>
      <c r="LGR23" s="228"/>
      <c r="LGS23" s="228"/>
      <c r="LGT23" s="228"/>
      <c r="LGU23" s="226"/>
      <c r="LGV23" s="226"/>
      <c r="LGW23" s="224"/>
      <c r="LGX23" s="225"/>
      <c r="LGY23" s="226"/>
      <c r="LGZ23" s="227"/>
      <c r="LHA23" s="228"/>
      <c r="LHB23" s="228"/>
      <c r="LHC23" s="228"/>
      <c r="LHD23" s="228"/>
      <c r="LHE23" s="228"/>
      <c r="LHF23" s="228"/>
      <c r="LHG23" s="226"/>
      <c r="LHH23" s="226"/>
      <c r="LHI23" s="224"/>
      <c r="LHJ23" s="225"/>
      <c r="LHK23" s="226"/>
      <c r="LHL23" s="227"/>
      <c r="LHM23" s="228"/>
      <c r="LHN23" s="228"/>
      <c r="LHO23" s="228"/>
      <c r="LHP23" s="228"/>
      <c r="LHQ23" s="228"/>
      <c r="LHR23" s="228"/>
      <c r="LHS23" s="226"/>
      <c r="LHT23" s="226"/>
      <c r="LHU23" s="224"/>
      <c r="LHV23" s="225"/>
      <c r="LHW23" s="226"/>
      <c r="LHX23" s="227"/>
      <c r="LHY23" s="228"/>
      <c r="LHZ23" s="228"/>
      <c r="LIA23" s="228"/>
      <c r="LIB23" s="228"/>
      <c r="LIC23" s="228"/>
      <c r="LID23" s="228"/>
      <c r="LIE23" s="226"/>
      <c r="LIF23" s="226"/>
      <c r="LIG23" s="224"/>
      <c r="LIH23" s="225"/>
      <c r="LII23" s="226"/>
      <c r="LIJ23" s="227"/>
      <c r="LIK23" s="228"/>
      <c r="LIL23" s="228"/>
      <c r="LIM23" s="228"/>
      <c r="LIN23" s="228"/>
      <c r="LIO23" s="228"/>
      <c r="LIP23" s="228"/>
      <c r="LIQ23" s="226"/>
      <c r="LIR23" s="226"/>
      <c r="LIS23" s="224"/>
      <c r="LIT23" s="225"/>
      <c r="LIU23" s="226"/>
      <c r="LIV23" s="227"/>
      <c r="LIW23" s="228"/>
      <c r="LIX23" s="228"/>
      <c r="LIY23" s="228"/>
      <c r="LIZ23" s="228"/>
      <c r="LJA23" s="228"/>
      <c r="LJB23" s="228"/>
      <c r="LJC23" s="226"/>
      <c r="LJD23" s="226"/>
      <c r="LJE23" s="224"/>
      <c r="LJF23" s="225"/>
      <c r="LJG23" s="226"/>
      <c r="LJH23" s="227"/>
      <c r="LJI23" s="228"/>
      <c r="LJJ23" s="228"/>
      <c r="LJK23" s="228"/>
      <c r="LJL23" s="228"/>
      <c r="LJM23" s="228"/>
      <c r="LJN23" s="228"/>
      <c r="LJO23" s="226"/>
      <c r="LJP23" s="226"/>
      <c r="LJQ23" s="224"/>
      <c r="LJR23" s="225"/>
      <c r="LJS23" s="226"/>
      <c r="LJT23" s="227"/>
      <c r="LJU23" s="228"/>
      <c r="LJV23" s="228"/>
      <c r="LJW23" s="228"/>
      <c r="LJX23" s="228"/>
      <c r="LJY23" s="228"/>
      <c r="LJZ23" s="228"/>
      <c r="LKA23" s="226"/>
      <c r="LKB23" s="226"/>
      <c r="LKC23" s="224"/>
      <c r="LKD23" s="225"/>
      <c r="LKE23" s="226"/>
      <c r="LKF23" s="227"/>
      <c r="LKG23" s="228"/>
      <c r="LKH23" s="228"/>
      <c r="LKI23" s="228"/>
      <c r="LKJ23" s="228"/>
      <c r="LKK23" s="228"/>
      <c r="LKL23" s="228"/>
      <c r="LKM23" s="226"/>
      <c r="LKN23" s="226"/>
      <c r="LKO23" s="224"/>
      <c r="LKP23" s="225"/>
      <c r="LKQ23" s="226"/>
      <c r="LKR23" s="227"/>
      <c r="LKS23" s="228"/>
      <c r="LKT23" s="228"/>
      <c r="LKU23" s="228"/>
      <c r="LKV23" s="228"/>
      <c r="LKW23" s="228"/>
      <c r="LKX23" s="228"/>
      <c r="LKY23" s="226"/>
      <c r="LKZ23" s="226"/>
      <c r="LLA23" s="224"/>
      <c r="LLB23" s="225"/>
      <c r="LLC23" s="226"/>
      <c r="LLD23" s="227"/>
      <c r="LLE23" s="228"/>
      <c r="LLF23" s="228"/>
      <c r="LLG23" s="228"/>
      <c r="LLH23" s="228"/>
      <c r="LLI23" s="228"/>
      <c r="LLJ23" s="228"/>
      <c r="LLK23" s="226"/>
      <c r="LLL23" s="226"/>
      <c r="LLM23" s="224"/>
      <c r="LLN23" s="225"/>
      <c r="LLO23" s="226"/>
      <c r="LLP23" s="227"/>
      <c r="LLQ23" s="228"/>
      <c r="LLR23" s="228"/>
      <c r="LLS23" s="228"/>
      <c r="LLT23" s="228"/>
      <c r="LLU23" s="228"/>
      <c r="LLV23" s="228"/>
      <c r="LLW23" s="226"/>
      <c r="LLX23" s="226"/>
      <c r="LLY23" s="224"/>
      <c r="LLZ23" s="225"/>
      <c r="LMA23" s="226"/>
      <c r="LMB23" s="227"/>
      <c r="LMC23" s="228"/>
      <c r="LMD23" s="228"/>
      <c r="LME23" s="228"/>
      <c r="LMF23" s="228"/>
      <c r="LMG23" s="228"/>
      <c r="LMH23" s="228"/>
      <c r="LMI23" s="226"/>
      <c r="LMJ23" s="226"/>
      <c r="LMK23" s="224"/>
      <c r="LML23" s="225"/>
      <c r="LMM23" s="226"/>
      <c r="LMN23" s="227"/>
      <c r="LMO23" s="228"/>
      <c r="LMP23" s="228"/>
      <c r="LMQ23" s="228"/>
      <c r="LMR23" s="228"/>
      <c r="LMS23" s="228"/>
      <c r="LMT23" s="228"/>
      <c r="LMU23" s="226"/>
      <c r="LMV23" s="226"/>
      <c r="LMW23" s="224"/>
      <c r="LMX23" s="225"/>
      <c r="LMY23" s="226"/>
      <c r="LMZ23" s="227"/>
      <c r="LNA23" s="228"/>
      <c r="LNB23" s="228"/>
      <c r="LNC23" s="228"/>
      <c r="LND23" s="228"/>
      <c r="LNE23" s="228"/>
      <c r="LNF23" s="228"/>
      <c r="LNG23" s="226"/>
      <c r="LNH23" s="226"/>
      <c r="LNI23" s="224"/>
      <c r="LNJ23" s="225"/>
      <c r="LNK23" s="226"/>
      <c r="LNL23" s="227"/>
      <c r="LNM23" s="228"/>
      <c r="LNN23" s="228"/>
      <c r="LNO23" s="228"/>
      <c r="LNP23" s="228"/>
      <c r="LNQ23" s="228"/>
      <c r="LNR23" s="228"/>
      <c r="LNS23" s="226"/>
      <c r="LNT23" s="226"/>
      <c r="LNU23" s="224"/>
      <c r="LNV23" s="225"/>
      <c r="LNW23" s="226"/>
      <c r="LNX23" s="227"/>
      <c r="LNY23" s="228"/>
      <c r="LNZ23" s="228"/>
      <c r="LOA23" s="228"/>
      <c r="LOB23" s="228"/>
      <c r="LOC23" s="228"/>
      <c r="LOD23" s="228"/>
      <c r="LOE23" s="226"/>
      <c r="LOF23" s="226"/>
      <c r="LOG23" s="224"/>
      <c r="LOH23" s="225"/>
      <c r="LOI23" s="226"/>
      <c r="LOJ23" s="227"/>
      <c r="LOK23" s="228"/>
      <c r="LOL23" s="228"/>
      <c r="LOM23" s="228"/>
      <c r="LON23" s="228"/>
      <c r="LOO23" s="228"/>
      <c r="LOP23" s="228"/>
      <c r="LOQ23" s="226"/>
      <c r="LOR23" s="226"/>
      <c r="LOS23" s="224"/>
      <c r="LOT23" s="225"/>
      <c r="LOU23" s="226"/>
      <c r="LOV23" s="227"/>
      <c r="LOW23" s="228"/>
      <c r="LOX23" s="228"/>
      <c r="LOY23" s="228"/>
      <c r="LOZ23" s="228"/>
      <c r="LPA23" s="228"/>
      <c r="LPB23" s="228"/>
      <c r="LPC23" s="226"/>
      <c r="LPD23" s="226"/>
      <c r="LPE23" s="224"/>
      <c r="LPF23" s="225"/>
      <c r="LPG23" s="226"/>
      <c r="LPH23" s="227"/>
      <c r="LPI23" s="228"/>
      <c r="LPJ23" s="228"/>
      <c r="LPK23" s="228"/>
      <c r="LPL23" s="228"/>
      <c r="LPM23" s="228"/>
      <c r="LPN23" s="228"/>
      <c r="LPO23" s="226"/>
      <c r="LPP23" s="226"/>
      <c r="LPQ23" s="224"/>
      <c r="LPR23" s="225"/>
      <c r="LPS23" s="226"/>
      <c r="LPT23" s="227"/>
      <c r="LPU23" s="228"/>
      <c r="LPV23" s="228"/>
      <c r="LPW23" s="228"/>
      <c r="LPX23" s="228"/>
      <c r="LPY23" s="228"/>
      <c r="LPZ23" s="228"/>
      <c r="LQA23" s="226"/>
      <c r="LQB23" s="226"/>
      <c r="LQC23" s="224"/>
      <c r="LQD23" s="225"/>
      <c r="LQE23" s="226"/>
      <c r="LQF23" s="227"/>
      <c r="LQG23" s="228"/>
      <c r="LQH23" s="228"/>
      <c r="LQI23" s="228"/>
      <c r="LQJ23" s="228"/>
      <c r="LQK23" s="228"/>
      <c r="LQL23" s="228"/>
      <c r="LQM23" s="226"/>
      <c r="LQN23" s="226"/>
      <c r="LQO23" s="224"/>
      <c r="LQP23" s="225"/>
      <c r="LQQ23" s="226"/>
      <c r="LQR23" s="227"/>
      <c r="LQS23" s="228"/>
      <c r="LQT23" s="228"/>
      <c r="LQU23" s="228"/>
      <c r="LQV23" s="228"/>
      <c r="LQW23" s="228"/>
      <c r="LQX23" s="228"/>
      <c r="LQY23" s="226"/>
      <c r="LQZ23" s="226"/>
      <c r="LRA23" s="224"/>
      <c r="LRB23" s="225"/>
      <c r="LRC23" s="226"/>
      <c r="LRD23" s="227"/>
      <c r="LRE23" s="228"/>
      <c r="LRF23" s="228"/>
      <c r="LRG23" s="228"/>
      <c r="LRH23" s="228"/>
      <c r="LRI23" s="228"/>
      <c r="LRJ23" s="228"/>
      <c r="LRK23" s="226"/>
      <c r="LRL23" s="226"/>
      <c r="LRM23" s="224"/>
      <c r="LRN23" s="225"/>
      <c r="LRO23" s="226"/>
      <c r="LRP23" s="227"/>
      <c r="LRQ23" s="228"/>
      <c r="LRR23" s="228"/>
      <c r="LRS23" s="228"/>
      <c r="LRT23" s="228"/>
      <c r="LRU23" s="228"/>
      <c r="LRV23" s="228"/>
      <c r="LRW23" s="226"/>
      <c r="LRX23" s="226"/>
      <c r="LRY23" s="224"/>
      <c r="LRZ23" s="225"/>
      <c r="LSA23" s="226"/>
      <c r="LSB23" s="227"/>
      <c r="LSC23" s="228"/>
      <c r="LSD23" s="228"/>
      <c r="LSE23" s="228"/>
      <c r="LSF23" s="228"/>
      <c r="LSG23" s="228"/>
      <c r="LSH23" s="228"/>
      <c r="LSI23" s="226"/>
      <c r="LSJ23" s="226"/>
      <c r="LSK23" s="224"/>
      <c r="LSL23" s="225"/>
      <c r="LSM23" s="226"/>
      <c r="LSN23" s="227"/>
      <c r="LSO23" s="228"/>
      <c r="LSP23" s="228"/>
      <c r="LSQ23" s="228"/>
      <c r="LSR23" s="228"/>
      <c r="LSS23" s="228"/>
      <c r="LST23" s="228"/>
      <c r="LSU23" s="226"/>
      <c r="LSV23" s="226"/>
      <c r="LSW23" s="224"/>
      <c r="LSX23" s="225"/>
      <c r="LSY23" s="226"/>
      <c r="LSZ23" s="227"/>
      <c r="LTA23" s="228"/>
      <c r="LTB23" s="228"/>
      <c r="LTC23" s="228"/>
      <c r="LTD23" s="228"/>
      <c r="LTE23" s="228"/>
      <c r="LTF23" s="228"/>
      <c r="LTG23" s="226"/>
      <c r="LTH23" s="226"/>
      <c r="LTI23" s="224"/>
      <c r="LTJ23" s="225"/>
      <c r="LTK23" s="226"/>
      <c r="LTL23" s="227"/>
      <c r="LTM23" s="228"/>
      <c r="LTN23" s="228"/>
      <c r="LTO23" s="228"/>
      <c r="LTP23" s="228"/>
      <c r="LTQ23" s="228"/>
      <c r="LTR23" s="228"/>
      <c r="LTS23" s="226"/>
      <c r="LTT23" s="226"/>
      <c r="LTU23" s="224"/>
      <c r="LTV23" s="225"/>
      <c r="LTW23" s="226"/>
      <c r="LTX23" s="227"/>
      <c r="LTY23" s="228"/>
      <c r="LTZ23" s="228"/>
      <c r="LUA23" s="228"/>
      <c r="LUB23" s="228"/>
      <c r="LUC23" s="228"/>
      <c r="LUD23" s="228"/>
      <c r="LUE23" s="226"/>
      <c r="LUF23" s="226"/>
      <c r="LUG23" s="224"/>
      <c r="LUH23" s="225"/>
      <c r="LUI23" s="226"/>
      <c r="LUJ23" s="227"/>
      <c r="LUK23" s="228"/>
      <c r="LUL23" s="228"/>
      <c r="LUM23" s="228"/>
      <c r="LUN23" s="228"/>
      <c r="LUO23" s="228"/>
      <c r="LUP23" s="228"/>
      <c r="LUQ23" s="226"/>
      <c r="LUR23" s="226"/>
      <c r="LUS23" s="224"/>
      <c r="LUT23" s="225"/>
      <c r="LUU23" s="226"/>
      <c r="LUV23" s="227"/>
      <c r="LUW23" s="228"/>
      <c r="LUX23" s="228"/>
      <c r="LUY23" s="228"/>
      <c r="LUZ23" s="228"/>
      <c r="LVA23" s="228"/>
      <c r="LVB23" s="228"/>
      <c r="LVC23" s="226"/>
      <c r="LVD23" s="226"/>
      <c r="LVE23" s="224"/>
      <c r="LVF23" s="225"/>
      <c r="LVG23" s="226"/>
      <c r="LVH23" s="227"/>
      <c r="LVI23" s="228"/>
      <c r="LVJ23" s="228"/>
      <c r="LVK23" s="228"/>
      <c r="LVL23" s="228"/>
      <c r="LVM23" s="228"/>
      <c r="LVN23" s="228"/>
      <c r="LVO23" s="226"/>
      <c r="LVP23" s="226"/>
      <c r="LVQ23" s="224"/>
      <c r="LVR23" s="225"/>
      <c r="LVS23" s="226"/>
      <c r="LVT23" s="227"/>
      <c r="LVU23" s="228"/>
      <c r="LVV23" s="228"/>
      <c r="LVW23" s="228"/>
      <c r="LVX23" s="228"/>
      <c r="LVY23" s="228"/>
      <c r="LVZ23" s="228"/>
      <c r="LWA23" s="226"/>
      <c r="LWB23" s="226"/>
      <c r="LWC23" s="224"/>
      <c r="LWD23" s="225"/>
      <c r="LWE23" s="226"/>
      <c r="LWF23" s="227"/>
      <c r="LWG23" s="228"/>
      <c r="LWH23" s="228"/>
      <c r="LWI23" s="228"/>
      <c r="LWJ23" s="228"/>
      <c r="LWK23" s="228"/>
      <c r="LWL23" s="228"/>
      <c r="LWM23" s="226"/>
      <c r="LWN23" s="226"/>
      <c r="LWO23" s="224"/>
      <c r="LWP23" s="225"/>
      <c r="LWQ23" s="226"/>
      <c r="LWR23" s="227"/>
      <c r="LWS23" s="228"/>
      <c r="LWT23" s="228"/>
      <c r="LWU23" s="228"/>
      <c r="LWV23" s="228"/>
      <c r="LWW23" s="228"/>
      <c r="LWX23" s="228"/>
      <c r="LWY23" s="226"/>
      <c r="LWZ23" s="226"/>
      <c r="LXA23" s="224"/>
      <c r="LXB23" s="225"/>
      <c r="LXC23" s="226"/>
      <c r="LXD23" s="227"/>
      <c r="LXE23" s="228"/>
      <c r="LXF23" s="228"/>
      <c r="LXG23" s="228"/>
      <c r="LXH23" s="228"/>
      <c r="LXI23" s="228"/>
      <c r="LXJ23" s="228"/>
      <c r="LXK23" s="226"/>
      <c r="LXL23" s="226"/>
      <c r="LXM23" s="224"/>
      <c r="LXN23" s="225"/>
      <c r="LXO23" s="226"/>
      <c r="LXP23" s="227"/>
      <c r="LXQ23" s="228"/>
      <c r="LXR23" s="228"/>
      <c r="LXS23" s="228"/>
      <c r="LXT23" s="228"/>
      <c r="LXU23" s="228"/>
      <c r="LXV23" s="228"/>
      <c r="LXW23" s="226"/>
      <c r="LXX23" s="226"/>
      <c r="LXY23" s="224"/>
      <c r="LXZ23" s="225"/>
      <c r="LYA23" s="226"/>
      <c r="LYB23" s="227"/>
      <c r="LYC23" s="228"/>
      <c r="LYD23" s="228"/>
      <c r="LYE23" s="228"/>
      <c r="LYF23" s="228"/>
      <c r="LYG23" s="228"/>
      <c r="LYH23" s="228"/>
      <c r="LYI23" s="226"/>
      <c r="LYJ23" s="226"/>
      <c r="LYK23" s="224"/>
      <c r="LYL23" s="225"/>
      <c r="LYM23" s="226"/>
      <c r="LYN23" s="227"/>
      <c r="LYO23" s="228"/>
      <c r="LYP23" s="228"/>
      <c r="LYQ23" s="228"/>
      <c r="LYR23" s="228"/>
      <c r="LYS23" s="228"/>
      <c r="LYT23" s="228"/>
      <c r="LYU23" s="226"/>
      <c r="LYV23" s="226"/>
      <c r="LYW23" s="224"/>
      <c r="LYX23" s="225"/>
      <c r="LYY23" s="226"/>
      <c r="LYZ23" s="227"/>
      <c r="LZA23" s="228"/>
      <c r="LZB23" s="228"/>
      <c r="LZC23" s="228"/>
      <c r="LZD23" s="228"/>
      <c r="LZE23" s="228"/>
      <c r="LZF23" s="228"/>
      <c r="LZG23" s="226"/>
      <c r="LZH23" s="226"/>
      <c r="LZI23" s="224"/>
      <c r="LZJ23" s="225"/>
      <c r="LZK23" s="226"/>
      <c r="LZL23" s="227"/>
      <c r="LZM23" s="228"/>
      <c r="LZN23" s="228"/>
      <c r="LZO23" s="228"/>
      <c r="LZP23" s="228"/>
      <c r="LZQ23" s="228"/>
      <c r="LZR23" s="228"/>
      <c r="LZS23" s="226"/>
      <c r="LZT23" s="226"/>
      <c r="LZU23" s="224"/>
      <c r="LZV23" s="225"/>
      <c r="LZW23" s="226"/>
      <c r="LZX23" s="227"/>
      <c r="LZY23" s="228"/>
      <c r="LZZ23" s="228"/>
      <c r="MAA23" s="228"/>
      <c r="MAB23" s="228"/>
      <c r="MAC23" s="228"/>
      <c r="MAD23" s="228"/>
      <c r="MAE23" s="226"/>
      <c r="MAF23" s="226"/>
      <c r="MAG23" s="224"/>
      <c r="MAH23" s="225"/>
      <c r="MAI23" s="226"/>
      <c r="MAJ23" s="227"/>
      <c r="MAK23" s="228"/>
      <c r="MAL23" s="228"/>
      <c r="MAM23" s="228"/>
      <c r="MAN23" s="228"/>
      <c r="MAO23" s="228"/>
      <c r="MAP23" s="228"/>
      <c r="MAQ23" s="226"/>
      <c r="MAR23" s="226"/>
      <c r="MAS23" s="224"/>
      <c r="MAT23" s="225"/>
      <c r="MAU23" s="226"/>
      <c r="MAV23" s="227"/>
      <c r="MAW23" s="228"/>
      <c r="MAX23" s="228"/>
      <c r="MAY23" s="228"/>
      <c r="MAZ23" s="228"/>
      <c r="MBA23" s="228"/>
      <c r="MBB23" s="228"/>
      <c r="MBC23" s="226"/>
      <c r="MBD23" s="226"/>
      <c r="MBE23" s="224"/>
      <c r="MBF23" s="225"/>
      <c r="MBG23" s="226"/>
      <c r="MBH23" s="227"/>
      <c r="MBI23" s="228"/>
      <c r="MBJ23" s="228"/>
      <c r="MBK23" s="228"/>
      <c r="MBL23" s="228"/>
      <c r="MBM23" s="228"/>
      <c r="MBN23" s="228"/>
      <c r="MBO23" s="226"/>
      <c r="MBP23" s="226"/>
      <c r="MBQ23" s="224"/>
      <c r="MBR23" s="225"/>
      <c r="MBS23" s="226"/>
      <c r="MBT23" s="227"/>
      <c r="MBU23" s="228"/>
      <c r="MBV23" s="228"/>
      <c r="MBW23" s="228"/>
      <c r="MBX23" s="228"/>
      <c r="MBY23" s="228"/>
      <c r="MBZ23" s="228"/>
      <c r="MCA23" s="226"/>
      <c r="MCB23" s="226"/>
      <c r="MCC23" s="224"/>
      <c r="MCD23" s="225"/>
      <c r="MCE23" s="226"/>
      <c r="MCF23" s="227"/>
      <c r="MCG23" s="228"/>
      <c r="MCH23" s="228"/>
      <c r="MCI23" s="228"/>
      <c r="MCJ23" s="228"/>
      <c r="MCK23" s="228"/>
      <c r="MCL23" s="228"/>
      <c r="MCM23" s="226"/>
      <c r="MCN23" s="226"/>
      <c r="MCO23" s="224"/>
      <c r="MCP23" s="225"/>
      <c r="MCQ23" s="226"/>
      <c r="MCR23" s="227"/>
      <c r="MCS23" s="228"/>
      <c r="MCT23" s="228"/>
      <c r="MCU23" s="228"/>
      <c r="MCV23" s="228"/>
      <c r="MCW23" s="228"/>
      <c r="MCX23" s="228"/>
      <c r="MCY23" s="226"/>
      <c r="MCZ23" s="226"/>
      <c r="MDA23" s="224"/>
      <c r="MDB23" s="225"/>
      <c r="MDC23" s="226"/>
      <c r="MDD23" s="227"/>
      <c r="MDE23" s="228"/>
      <c r="MDF23" s="228"/>
      <c r="MDG23" s="228"/>
      <c r="MDH23" s="228"/>
      <c r="MDI23" s="228"/>
      <c r="MDJ23" s="228"/>
      <c r="MDK23" s="226"/>
      <c r="MDL23" s="226"/>
      <c r="MDM23" s="224"/>
      <c r="MDN23" s="225"/>
      <c r="MDO23" s="226"/>
      <c r="MDP23" s="227"/>
      <c r="MDQ23" s="228"/>
      <c r="MDR23" s="228"/>
      <c r="MDS23" s="228"/>
      <c r="MDT23" s="228"/>
      <c r="MDU23" s="228"/>
      <c r="MDV23" s="228"/>
      <c r="MDW23" s="226"/>
      <c r="MDX23" s="226"/>
      <c r="MDY23" s="224"/>
      <c r="MDZ23" s="225"/>
      <c r="MEA23" s="226"/>
      <c r="MEB23" s="227"/>
      <c r="MEC23" s="228"/>
      <c r="MED23" s="228"/>
      <c r="MEE23" s="228"/>
      <c r="MEF23" s="228"/>
      <c r="MEG23" s="228"/>
      <c r="MEH23" s="228"/>
      <c r="MEI23" s="226"/>
      <c r="MEJ23" s="226"/>
      <c r="MEK23" s="224"/>
      <c r="MEL23" s="225"/>
      <c r="MEM23" s="226"/>
      <c r="MEN23" s="227"/>
      <c r="MEO23" s="228"/>
      <c r="MEP23" s="228"/>
      <c r="MEQ23" s="228"/>
      <c r="MER23" s="228"/>
      <c r="MES23" s="228"/>
      <c r="MET23" s="228"/>
      <c r="MEU23" s="226"/>
      <c r="MEV23" s="226"/>
      <c r="MEW23" s="224"/>
      <c r="MEX23" s="225"/>
      <c r="MEY23" s="226"/>
      <c r="MEZ23" s="227"/>
      <c r="MFA23" s="228"/>
      <c r="MFB23" s="228"/>
      <c r="MFC23" s="228"/>
      <c r="MFD23" s="228"/>
      <c r="MFE23" s="228"/>
      <c r="MFF23" s="228"/>
      <c r="MFG23" s="226"/>
      <c r="MFH23" s="226"/>
      <c r="MFI23" s="224"/>
      <c r="MFJ23" s="225"/>
      <c r="MFK23" s="226"/>
      <c r="MFL23" s="227"/>
      <c r="MFM23" s="228"/>
      <c r="MFN23" s="228"/>
      <c r="MFO23" s="228"/>
      <c r="MFP23" s="228"/>
      <c r="MFQ23" s="228"/>
      <c r="MFR23" s="228"/>
      <c r="MFS23" s="226"/>
      <c r="MFT23" s="226"/>
      <c r="MFU23" s="224"/>
      <c r="MFV23" s="225"/>
      <c r="MFW23" s="226"/>
      <c r="MFX23" s="227"/>
      <c r="MFY23" s="228"/>
      <c r="MFZ23" s="228"/>
      <c r="MGA23" s="228"/>
      <c r="MGB23" s="228"/>
      <c r="MGC23" s="228"/>
      <c r="MGD23" s="228"/>
      <c r="MGE23" s="226"/>
      <c r="MGF23" s="226"/>
      <c r="MGG23" s="224"/>
      <c r="MGH23" s="225"/>
      <c r="MGI23" s="226"/>
      <c r="MGJ23" s="227"/>
      <c r="MGK23" s="228"/>
      <c r="MGL23" s="228"/>
      <c r="MGM23" s="228"/>
      <c r="MGN23" s="228"/>
      <c r="MGO23" s="228"/>
      <c r="MGP23" s="228"/>
      <c r="MGQ23" s="226"/>
      <c r="MGR23" s="226"/>
      <c r="MGS23" s="224"/>
      <c r="MGT23" s="225"/>
      <c r="MGU23" s="226"/>
      <c r="MGV23" s="227"/>
      <c r="MGW23" s="228"/>
      <c r="MGX23" s="228"/>
      <c r="MGY23" s="228"/>
      <c r="MGZ23" s="228"/>
      <c r="MHA23" s="228"/>
      <c r="MHB23" s="228"/>
      <c r="MHC23" s="226"/>
      <c r="MHD23" s="226"/>
      <c r="MHE23" s="224"/>
      <c r="MHF23" s="225"/>
      <c r="MHG23" s="226"/>
      <c r="MHH23" s="227"/>
      <c r="MHI23" s="228"/>
      <c r="MHJ23" s="228"/>
      <c r="MHK23" s="228"/>
      <c r="MHL23" s="228"/>
      <c r="MHM23" s="228"/>
      <c r="MHN23" s="228"/>
      <c r="MHO23" s="226"/>
      <c r="MHP23" s="226"/>
      <c r="MHQ23" s="224"/>
      <c r="MHR23" s="225"/>
      <c r="MHS23" s="226"/>
      <c r="MHT23" s="227"/>
      <c r="MHU23" s="228"/>
      <c r="MHV23" s="228"/>
      <c r="MHW23" s="228"/>
      <c r="MHX23" s="228"/>
      <c r="MHY23" s="228"/>
      <c r="MHZ23" s="228"/>
      <c r="MIA23" s="226"/>
      <c r="MIB23" s="226"/>
      <c r="MIC23" s="224"/>
      <c r="MID23" s="225"/>
      <c r="MIE23" s="226"/>
      <c r="MIF23" s="227"/>
      <c r="MIG23" s="228"/>
      <c r="MIH23" s="228"/>
      <c r="MII23" s="228"/>
      <c r="MIJ23" s="228"/>
      <c r="MIK23" s="228"/>
      <c r="MIL23" s="228"/>
      <c r="MIM23" s="226"/>
      <c r="MIN23" s="226"/>
      <c r="MIO23" s="224"/>
      <c r="MIP23" s="225"/>
      <c r="MIQ23" s="226"/>
      <c r="MIR23" s="227"/>
      <c r="MIS23" s="228"/>
      <c r="MIT23" s="228"/>
      <c r="MIU23" s="228"/>
      <c r="MIV23" s="228"/>
      <c r="MIW23" s="228"/>
      <c r="MIX23" s="228"/>
      <c r="MIY23" s="226"/>
      <c r="MIZ23" s="226"/>
      <c r="MJA23" s="224"/>
      <c r="MJB23" s="225"/>
      <c r="MJC23" s="226"/>
      <c r="MJD23" s="227"/>
      <c r="MJE23" s="228"/>
      <c r="MJF23" s="228"/>
      <c r="MJG23" s="228"/>
      <c r="MJH23" s="228"/>
      <c r="MJI23" s="228"/>
      <c r="MJJ23" s="228"/>
      <c r="MJK23" s="226"/>
      <c r="MJL23" s="226"/>
      <c r="MJM23" s="224"/>
      <c r="MJN23" s="225"/>
      <c r="MJO23" s="226"/>
      <c r="MJP23" s="227"/>
      <c r="MJQ23" s="228"/>
      <c r="MJR23" s="228"/>
      <c r="MJS23" s="228"/>
      <c r="MJT23" s="228"/>
      <c r="MJU23" s="228"/>
      <c r="MJV23" s="228"/>
      <c r="MJW23" s="226"/>
      <c r="MJX23" s="226"/>
      <c r="MJY23" s="224"/>
      <c r="MJZ23" s="225"/>
      <c r="MKA23" s="226"/>
      <c r="MKB23" s="227"/>
      <c r="MKC23" s="228"/>
      <c r="MKD23" s="228"/>
      <c r="MKE23" s="228"/>
      <c r="MKF23" s="228"/>
      <c r="MKG23" s="228"/>
      <c r="MKH23" s="228"/>
      <c r="MKI23" s="226"/>
      <c r="MKJ23" s="226"/>
      <c r="MKK23" s="224"/>
      <c r="MKL23" s="225"/>
      <c r="MKM23" s="226"/>
      <c r="MKN23" s="227"/>
      <c r="MKO23" s="228"/>
      <c r="MKP23" s="228"/>
      <c r="MKQ23" s="228"/>
      <c r="MKR23" s="228"/>
      <c r="MKS23" s="228"/>
      <c r="MKT23" s="228"/>
      <c r="MKU23" s="226"/>
      <c r="MKV23" s="226"/>
      <c r="MKW23" s="224"/>
      <c r="MKX23" s="225"/>
      <c r="MKY23" s="226"/>
      <c r="MKZ23" s="227"/>
      <c r="MLA23" s="228"/>
      <c r="MLB23" s="228"/>
      <c r="MLC23" s="228"/>
      <c r="MLD23" s="228"/>
      <c r="MLE23" s="228"/>
      <c r="MLF23" s="228"/>
      <c r="MLG23" s="226"/>
      <c r="MLH23" s="226"/>
      <c r="MLI23" s="224"/>
      <c r="MLJ23" s="225"/>
      <c r="MLK23" s="226"/>
      <c r="MLL23" s="227"/>
      <c r="MLM23" s="228"/>
      <c r="MLN23" s="228"/>
      <c r="MLO23" s="228"/>
      <c r="MLP23" s="228"/>
      <c r="MLQ23" s="228"/>
      <c r="MLR23" s="228"/>
      <c r="MLS23" s="226"/>
      <c r="MLT23" s="226"/>
      <c r="MLU23" s="224"/>
      <c r="MLV23" s="225"/>
      <c r="MLW23" s="226"/>
      <c r="MLX23" s="227"/>
      <c r="MLY23" s="228"/>
      <c r="MLZ23" s="228"/>
      <c r="MMA23" s="228"/>
      <c r="MMB23" s="228"/>
      <c r="MMC23" s="228"/>
      <c r="MMD23" s="228"/>
      <c r="MME23" s="226"/>
      <c r="MMF23" s="226"/>
      <c r="MMG23" s="224"/>
      <c r="MMH23" s="225"/>
      <c r="MMI23" s="226"/>
      <c r="MMJ23" s="227"/>
      <c r="MMK23" s="228"/>
      <c r="MML23" s="228"/>
      <c r="MMM23" s="228"/>
      <c r="MMN23" s="228"/>
      <c r="MMO23" s="228"/>
      <c r="MMP23" s="228"/>
      <c r="MMQ23" s="226"/>
      <c r="MMR23" s="226"/>
      <c r="MMS23" s="224"/>
      <c r="MMT23" s="225"/>
      <c r="MMU23" s="226"/>
      <c r="MMV23" s="227"/>
      <c r="MMW23" s="228"/>
      <c r="MMX23" s="228"/>
      <c r="MMY23" s="228"/>
      <c r="MMZ23" s="228"/>
      <c r="MNA23" s="228"/>
      <c r="MNB23" s="228"/>
      <c r="MNC23" s="226"/>
      <c r="MND23" s="226"/>
      <c r="MNE23" s="224"/>
      <c r="MNF23" s="225"/>
      <c r="MNG23" s="226"/>
      <c r="MNH23" s="227"/>
      <c r="MNI23" s="228"/>
      <c r="MNJ23" s="228"/>
      <c r="MNK23" s="228"/>
      <c r="MNL23" s="228"/>
      <c r="MNM23" s="228"/>
      <c r="MNN23" s="228"/>
      <c r="MNO23" s="226"/>
      <c r="MNP23" s="226"/>
      <c r="MNQ23" s="224"/>
      <c r="MNR23" s="225"/>
      <c r="MNS23" s="226"/>
      <c r="MNT23" s="227"/>
      <c r="MNU23" s="228"/>
      <c r="MNV23" s="228"/>
      <c r="MNW23" s="228"/>
      <c r="MNX23" s="228"/>
      <c r="MNY23" s="228"/>
      <c r="MNZ23" s="228"/>
      <c r="MOA23" s="226"/>
      <c r="MOB23" s="226"/>
      <c r="MOC23" s="224"/>
      <c r="MOD23" s="225"/>
      <c r="MOE23" s="226"/>
      <c r="MOF23" s="227"/>
      <c r="MOG23" s="228"/>
      <c r="MOH23" s="228"/>
      <c r="MOI23" s="228"/>
      <c r="MOJ23" s="228"/>
      <c r="MOK23" s="228"/>
      <c r="MOL23" s="228"/>
      <c r="MOM23" s="226"/>
      <c r="MON23" s="226"/>
      <c r="MOO23" s="224"/>
      <c r="MOP23" s="225"/>
      <c r="MOQ23" s="226"/>
      <c r="MOR23" s="227"/>
      <c r="MOS23" s="228"/>
      <c r="MOT23" s="228"/>
      <c r="MOU23" s="228"/>
      <c r="MOV23" s="228"/>
      <c r="MOW23" s="228"/>
      <c r="MOX23" s="228"/>
      <c r="MOY23" s="226"/>
      <c r="MOZ23" s="226"/>
      <c r="MPA23" s="224"/>
      <c r="MPB23" s="225"/>
      <c r="MPC23" s="226"/>
      <c r="MPD23" s="227"/>
      <c r="MPE23" s="228"/>
      <c r="MPF23" s="228"/>
      <c r="MPG23" s="228"/>
      <c r="MPH23" s="228"/>
      <c r="MPI23" s="228"/>
      <c r="MPJ23" s="228"/>
      <c r="MPK23" s="226"/>
      <c r="MPL23" s="226"/>
      <c r="MPM23" s="224"/>
      <c r="MPN23" s="225"/>
      <c r="MPO23" s="226"/>
      <c r="MPP23" s="227"/>
      <c r="MPQ23" s="228"/>
      <c r="MPR23" s="228"/>
      <c r="MPS23" s="228"/>
      <c r="MPT23" s="228"/>
      <c r="MPU23" s="228"/>
      <c r="MPV23" s="228"/>
      <c r="MPW23" s="226"/>
      <c r="MPX23" s="226"/>
      <c r="MPY23" s="224"/>
      <c r="MPZ23" s="225"/>
      <c r="MQA23" s="226"/>
      <c r="MQB23" s="227"/>
      <c r="MQC23" s="228"/>
      <c r="MQD23" s="228"/>
      <c r="MQE23" s="228"/>
      <c r="MQF23" s="228"/>
      <c r="MQG23" s="228"/>
      <c r="MQH23" s="228"/>
      <c r="MQI23" s="226"/>
      <c r="MQJ23" s="226"/>
      <c r="MQK23" s="224"/>
      <c r="MQL23" s="225"/>
      <c r="MQM23" s="226"/>
      <c r="MQN23" s="227"/>
      <c r="MQO23" s="228"/>
      <c r="MQP23" s="228"/>
      <c r="MQQ23" s="228"/>
      <c r="MQR23" s="228"/>
      <c r="MQS23" s="228"/>
      <c r="MQT23" s="228"/>
      <c r="MQU23" s="226"/>
      <c r="MQV23" s="226"/>
      <c r="MQW23" s="224"/>
      <c r="MQX23" s="225"/>
      <c r="MQY23" s="226"/>
      <c r="MQZ23" s="227"/>
      <c r="MRA23" s="228"/>
      <c r="MRB23" s="228"/>
      <c r="MRC23" s="228"/>
      <c r="MRD23" s="228"/>
      <c r="MRE23" s="228"/>
      <c r="MRF23" s="228"/>
      <c r="MRG23" s="226"/>
      <c r="MRH23" s="226"/>
      <c r="MRI23" s="224"/>
      <c r="MRJ23" s="225"/>
      <c r="MRK23" s="226"/>
      <c r="MRL23" s="227"/>
      <c r="MRM23" s="228"/>
      <c r="MRN23" s="228"/>
      <c r="MRO23" s="228"/>
      <c r="MRP23" s="228"/>
      <c r="MRQ23" s="228"/>
      <c r="MRR23" s="228"/>
      <c r="MRS23" s="226"/>
      <c r="MRT23" s="226"/>
      <c r="MRU23" s="224"/>
      <c r="MRV23" s="225"/>
      <c r="MRW23" s="226"/>
      <c r="MRX23" s="227"/>
      <c r="MRY23" s="228"/>
      <c r="MRZ23" s="228"/>
      <c r="MSA23" s="228"/>
      <c r="MSB23" s="228"/>
      <c r="MSC23" s="228"/>
      <c r="MSD23" s="228"/>
      <c r="MSE23" s="226"/>
      <c r="MSF23" s="226"/>
      <c r="MSG23" s="224"/>
      <c r="MSH23" s="225"/>
      <c r="MSI23" s="226"/>
      <c r="MSJ23" s="227"/>
      <c r="MSK23" s="228"/>
      <c r="MSL23" s="228"/>
      <c r="MSM23" s="228"/>
      <c r="MSN23" s="228"/>
      <c r="MSO23" s="228"/>
      <c r="MSP23" s="228"/>
      <c r="MSQ23" s="226"/>
      <c r="MSR23" s="226"/>
      <c r="MSS23" s="224"/>
      <c r="MST23" s="225"/>
      <c r="MSU23" s="226"/>
      <c r="MSV23" s="227"/>
      <c r="MSW23" s="228"/>
      <c r="MSX23" s="228"/>
      <c r="MSY23" s="228"/>
      <c r="MSZ23" s="228"/>
      <c r="MTA23" s="228"/>
      <c r="MTB23" s="228"/>
      <c r="MTC23" s="226"/>
      <c r="MTD23" s="226"/>
      <c r="MTE23" s="224"/>
      <c r="MTF23" s="225"/>
      <c r="MTG23" s="226"/>
      <c r="MTH23" s="227"/>
      <c r="MTI23" s="228"/>
      <c r="MTJ23" s="228"/>
      <c r="MTK23" s="228"/>
      <c r="MTL23" s="228"/>
      <c r="MTM23" s="228"/>
      <c r="MTN23" s="228"/>
      <c r="MTO23" s="226"/>
      <c r="MTP23" s="226"/>
      <c r="MTQ23" s="224"/>
      <c r="MTR23" s="225"/>
      <c r="MTS23" s="226"/>
      <c r="MTT23" s="227"/>
      <c r="MTU23" s="228"/>
      <c r="MTV23" s="228"/>
      <c r="MTW23" s="228"/>
      <c r="MTX23" s="228"/>
      <c r="MTY23" s="228"/>
      <c r="MTZ23" s="228"/>
      <c r="MUA23" s="226"/>
      <c r="MUB23" s="226"/>
      <c r="MUC23" s="224"/>
      <c r="MUD23" s="225"/>
      <c r="MUE23" s="226"/>
      <c r="MUF23" s="227"/>
      <c r="MUG23" s="228"/>
      <c r="MUH23" s="228"/>
      <c r="MUI23" s="228"/>
      <c r="MUJ23" s="228"/>
      <c r="MUK23" s="228"/>
      <c r="MUL23" s="228"/>
      <c r="MUM23" s="226"/>
      <c r="MUN23" s="226"/>
      <c r="MUO23" s="224"/>
      <c r="MUP23" s="225"/>
      <c r="MUQ23" s="226"/>
      <c r="MUR23" s="227"/>
      <c r="MUS23" s="228"/>
      <c r="MUT23" s="228"/>
      <c r="MUU23" s="228"/>
      <c r="MUV23" s="228"/>
      <c r="MUW23" s="228"/>
      <c r="MUX23" s="228"/>
      <c r="MUY23" s="226"/>
      <c r="MUZ23" s="226"/>
      <c r="MVA23" s="224"/>
      <c r="MVB23" s="225"/>
      <c r="MVC23" s="226"/>
      <c r="MVD23" s="227"/>
      <c r="MVE23" s="228"/>
      <c r="MVF23" s="228"/>
      <c r="MVG23" s="228"/>
      <c r="MVH23" s="228"/>
      <c r="MVI23" s="228"/>
      <c r="MVJ23" s="228"/>
      <c r="MVK23" s="226"/>
      <c r="MVL23" s="226"/>
      <c r="MVM23" s="224"/>
      <c r="MVN23" s="225"/>
      <c r="MVO23" s="226"/>
      <c r="MVP23" s="227"/>
      <c r="MVQ23" s="228"/>
      <c r="MVR23" s="228"/>
      <c r="MVS23" s="228"/>
      <c r="MVT23" s="228"/>
      <c r="MVU23" s="228"/>
      <c r="MVV23" s="228"/>
      <c r="MVW23" s="226"/>
      <c r="MVX23" s="226"/>
      <c r="MVY23" s="224"/>
      <c r="MVZ23" s="225"/>
      <c r="MWA23" s="226"/>
      <c r="MWB23" s="227"/>
      <c r="MWC23" s="228"/>
      <c r="MWD23" s="228"/>
      <c r="MWE23" s="228"/>
      <c r="MWF23" s="228"/>
      <c r="MWG23" s="228"/>
      <c r="MWH23" s="228"/>
      <c r="MWI23" s="226"/>
      <c r="MWJ23" s="226"/>
      <c r="MWK23" s="224"/>
      <c r="MWL23" s="225"/>
      <c r="MWM23" s="226"/>
      <c r="MWN23" s="227"/>
      <c r="MWO23" s="228"/>
      <c r="MWP23" s="228"/>
      <c r="MWQ23" s="228"/>
      <c r="MWR23" s="228"/>
      <c r="MWS23" s="228"/>
      <c r="MWT23" s="228"/>
      <c r="MWU23" s="226"/>
      <c r="MWV23" s="226"/>
      <c r="MWW23" s="224"/>
      <c r="MWX23" s="225"/>
      <c r="MWY23" s="226"/>
      <c r="MWZ23" s="227"/>
      <c r="MXA23" s="228"/>
      <c r="MXB23" s="228"/>
      <c r="MXC23" s="228"/>
      <c r="MXD23" s="228"/>
      <c r="MXE23" s="228"/>
      <c r="MXF23" s="228"/>
      <c r="MXG23" s="226"/>
      <c r="MXH23" s="226"/>
      <c r="MXI23" s="224"/>
      <c r="MXJ23" s="225"/>
      <c r="MXK23" s="226"/>
      <c r="MXL23" s="227"/>
      <c r="MXM23" s="228"/>
      <c r="MXN23" s="228"/>
      <c r="MXO23" s="228"/>
      <c r="MXP23" s="228"/>
      <c r="MXQ23" s="228"/>
      <c r="MXR23" s="228"/>
      <c r="MXS23" s="226"/>
      <c r="MXT23" s="226"/>
      <c r="MXU23" s="224"/>
      <c r="MXV23" s="225"/>
      <c r="MXW23" s="226"/>
      <c r="MXX23" s="227"/>
      <c r="MXY23" s="228"/>
      <c r="MXZ23" s="228"/>
      <c r="MYA23" s="228"/>
      <c r="MYB23" s="228"/>
      <c r="MYC23" s="228"/>
      <c r="MYD23" s="228"/>
      <c r="MYE23" s="226"/>
      <c r="MYF23" s="226"/>
      <c r="MYG23" s="224"/>
      <c r="MYH23" s="225"/>
      <c r="MYI23" s="226"/>
      <c r="MYJ23" s="227"/>
      <c r="MYK23" s="228"/>
      <c r="MYL23" s="228"/>
      <c r="MYM23" s="228"/>
      <c r="MYN23" s="228"/>
      <c r="MYO23" s="228"/>
      <c r="MYP23" s="228"/>
      <c r="MYQ23" s="226"/>
      <c r="MYR23" s="226"/>
      <c r="MYS23" s="224"/>
      <c r="MYT23" s="225"/>
      <c r="MYU23" s="226"/>
      <c r="MYV23" s="227"/>
      <c r="MYW23" s="228"/>
      <c r="MYX23" s="228"/>
      <c r="MYY23" s="228"/>
      <c r="MYZ23" s="228"/>
      <c r="MZA23" s="228"/>
      <c r="MZB23" s="228"/>
      <c r="MZC23" s="226"/>
      <c r="MZD23" s="226"/>
      <c r="MZE23" s="224"/>
      <c r="MZF23" s="225"/>
      <c r="MZG23" s="226"/>
      <c r="MZH23" s="227"/>
      <c r="MZI23" s="228"/>
      <c r="MZJ23" s="228"/>
      <c r="MZK23" s="228"/>
      <c r="MZL23" s="228"/>
      <c r="MZM23" s="228"/>
      <c r="MZN23" s="228"/>
      <c r="MZO23" s="226"/>
      <c r="MZP23" s="226"/>
      <c r="MZQ23" s="224"/>
      <c r="MZR23" s="225"/>
      <c r="MZS23" s="226"/>
      <c r="MZT23" s="227"/>
      <c r="MZU23" s="228"/>
      <c r="MZV23" s="228"/>
      <c r="MZW23" s="228"/>
      <c r="MZX23" s="228"/>
      <c r="MZY23" s="228"/>
      <c r="MZZ23" s="228"/>
      <c r="NAA23" s="226"/>
      <c r="NAB23" s="226"/>
      <c r="NAC23" s="224"/>
      <c r="NAD23" s="225"/>
      <c r="NAE23" s="226"/>
      <c r="NAF23" s="227"/>
      <c r="NAG23" s="228"/>
      <c r="NAH23" s="228"/>
      <c r="NAI23" s="228"/>
      <c r="NAJ23" s="228"/>
      <c r="NAK23" s="228"/>
      <c r="NAL23" s="228"/>
      <c r="NAM23" s="226"/>
      <c r="NAN23" s="226"/>
      <c r="NAO23" s="224"/>
      <c r="NAP23" s="225"/>
      <c r="NAQ23" s="226"/>
      <c r="NAR23" s="227"/>
      <c r="NAS23" s="228"/>
      <c r="NAT23" s="228"/>
      <c r="NAU23" s="228"/>
      <c r="NAV23" s="228"/>
      <c r="NAW23" s="228"/>
      <c r="NAX23" s="228"/>
      <c r="NAY23" s="226"/>
      <c r="NAZ23" s="226"/>
      <c r="NBA23" s="224"/>
      <c r="NBB23" s="225"/>
      <c r="NBC23" s="226"/>
      <c r="NBD23" s="227"/>
      <c r="NBE23" s="228"/>
      <c r="NBF23" s="228"/>
      <c r="NBG23" s="228"/>
      <c r="NBH23" s="228"/>
      <c r="NBI23" s="228"/>
      <c r="NBJ23" s="228"/>
      <c r="NBK23" s="226"/>
      <c r="NBL23" s="226"/>
      <c r="NBM23" s="224"/>
      <c r="NBN23" s="225"/>
      <c r="NBO23" s="226"/>
      <c r="NBP23" s="227"/>
      <c r="NBQ23" s="228"/>
      <c r="NBR23" s="228"/>
      <c r="NBS23" s="228"/>
      <c r="NBT23" s="228"/>
      <c r="NBU23" s="228"/>
      <c r="NBV23" s="228"/>
      <c r="NBW23" s="226"/>
      <c r="NBX23" s="226"/>
      <c r="NBY23" s="224"/>
      <c r="NBZ23" s="225"/>
      <c r="NCA23" s="226"/>
      <c r="NCB23" s="227"/>
      <c r="NCC23" s="228"/>
      <c r="NCD23" s="228"/>
      <c r="NCE23" s="228"/>
      <c r="NCF23" s="228"/>
      <c r="NCG23" s="228"/>
      <c r="NCH23" s="228"/>
      <c r="NCI23" s="226"/>
      <c r="NCJ23" s="226"/>
      <c r="NCK23" s="224"/>
      <c r="NCL23" s="225"/>
      <c r="NCM23" s="226"/>
      <c r="NCN23" s="227"/>
      <c r="NCO23" s="228"/>
      <c r="NCP23" s="228"/>
      <c r="NCQ23" s="228"/>
      <c r="NCR23" s="228"/>
      <c r="NCS23" s="228"/>
      <c r="NCT23" s="228"/>
      <c r="NCU23" s="226"/>
      <c r="NCV23" s="226"/>
      <c r="NCW23" s="224"/>
      <c r="NCX23" s="225"/>
      <c r="NCY23" s="226"/>
      <c r="NCZ23" s="227"/>
      <c r="NDA23" s="228"/>
      <c r="NDB23" s="228"/>
      <c r="NDC23" s="228"/>
      <c r="NDD23" s="228"/>
      <c r="NDE23" s="228"/>
      <c r="NDF23" s="228"/>
      <c r="NDG23" s="226"/>
      <c r="NDH23" s="226"/>
      <c r="NDI23" s="224"/>
      <c r="NDJ23" s="225"/>
      <c r="NDK23" s="226"/>
      <c r="NDL23" s="227"/>
      <c r="NDM23" s="228"/>
      <c r="NDN23" s="228"/>
      <c r="NDO23" s="228"/>
      <c r="NDP23" s="228"/>
      <c r="NDQ23" s="228"/>
      <c r="NDR23" s="228"/>
      <c r="NDS23" s="226"/>
      <c r="NDT23" s="226"/>
      <c r="NDU23" s="224"/>
      <c r="NDV23" s="225"/>
      <c r="NDW23" s="226"/>
      <c r="NDX23" s="227"/>
      <c r="NDY23" s="228"/>
      <c r="NDZ23" s="228"/>
      <c r="NEA23" s="228"/>
      <c r="NEB23" s="228"/>
      <c r="NEC23" s="228"/>
      <c r="NED23" s="228"/>
      <c r="NEE23" s="226"/>
      <c r="NEF23" s="226"/>
      <c r="NEG23" s="224"/>
      <c r="NEH23" s="225"/>
      <c r="NEI23" s="226"/>
      <c r="NEJ23" s="227"/>
      <c r="NEK23" s="228"/>
      <c r="NEL23" s="228"/>
      <c r="NEM23" s="228"/>
      <c r="NEN23" s="228"/>
      <c r="NEO23" s="228"/>
      <c r="NEP23" s="228"/>
      <c r="NEQ23" s="226"/>
      <c r="NER23" s="226"/>
      <c r="NES23" s="224"/>
      <c r="NET23" s="225"/>
      <c r="NEU23" s="226"/>
      <c r="NEV23" s="227"/>
      <c r="NEW23" s="228"/>
      <c r="NEX23" s="228"/>
      <c r="NEY23" s="228"/>
      <c r="NEZ23" s="228"/>
      <c r="NFA23" s="228"/>
      <c r="NFB23" s="228"/>
      <c r="NFC23" s="226"/>
      <c r="NFD23" s="226"/>
      <c r="NFE23" s="224"/>
      <c r="NFF23" s="225"/>
      <c r="NFG23" s="226"/>
      <c r="NFH23" s="227"/>
      <c r="NFI23" s="228"/>
      <c r="NFJ23" s="228"/>
      <c r="NFK23" s="228"/>
      <c r="NFL23" s="228"/>
      <c r="NFM23" s="228"/>
      <c r="NFN23" s="228"/>
      <c r="NFO23" s="226"/>
      <c r="NFP23" s="226"/>
      <c r="NFQ23" s="224"/>
      <c r="NFR23" s="225"/>
      <c r="NFS23" s="226"/>
      <c r="NFT23" s="227"/>
      <c r="NFU23" s="228"/>
      <c r="NFV23" s="228"/>
      <c r="NFW23" s="228"/>
      <c r="NFX23" s="228"/>
      <c r="NFY23" s="228"/>
      <c r="NFZ23" s="228"/>
      <c r="NGA23" s="226"/>
      <c r="NGB23" s="226"/>
      <c r="NGC23" s="224"/>
      <c r="NGD23" s="225"/>
      <c r="NGE23" s="226"/>
      <c r="NGF23" s="227"/>
      <c r="NGG23" s="228"/>
      <c r="NGH23" s="228"/>
      <c r="NGI23" s="228"/>
      <c r="NGJ23" s="228"/>
      <c r="NGK23" s="228"/>
      <c r="NGL23" s="228"/>
      <c r="NGM23" s="226"/>
      <c r="NGN23" s="226"/>
      <c r="NGO23" s="224"/>
      <c r="NGP23" s="225"/>
      <c r="NGQ23" s="226"/>
      <c r="NGR23" s="227"/>
      <c r="NGS23" s="228"/>
      <c r="NGT23" s="228"/>
      <c r="NGU23" s="228"/>
      <c r="NGV23" s="228"/>
      <c r="NGW23" s="228"/>
      <c r="NGX23" s="228"/>
      <c r="NGY23" s="226"/>
      <c r="NGZ23" s="226"/>
      <c r="NHA23" s="224"/>
      <c r="NHB23" s="225"/>
      <c r="NHC23" s="226"/>
      <c r="NHD23" s="227"/>
      <c r="NHE23" s="228"/>
      <c r="NHF23" s="228"/>
      <c r="NHG23" s="228"/>
      <c r="NHH23" s="228"/>
      <c r="NHI23" s="228"/>
      <c r="NHJ23" s="228"/>
      <c r="NHK23" s="226"/>
      <c r="NHL23" s="226"/>
      <c r="NHM23" s="224"/>
      <c r="NHN23" s="225"/>
      <c r="NHO23" s="226"/>
      <c r="NHP23" s="227"/>
      <c r="NHQ23" s="228"/>
      <c r="NHR23" s="228"/>
      <c r="NHS23" s="228"/>
      <c r="NHT23" s="228"/>
      <c r="NHU23" s="228"/>
      <c r="NHV23" s="228"/>
      <c r="NHW23" s="226"/>
      <c r="NHX23" s="226"/>
      <c r="NHY23" s="224"/>
      <c r="NHZ23" s="225"/>
      <c r="NIA23" s="226"/>
      <c r="NIB23" s="227"/>
      <c r="NIC23" s="228"/>
      <c r="NID23" s="228"/>
      <c r="NIE23" s="228"/>
      <c r="NIF23" s="228"/>
      <c r="NIG23" s="228"/>
      <c r="NIH23" s="228"/>
      <c r="NII23" s="226"/>
      <c r="NIJ23" s="226"/>
      <c r="NIK23" s="224"/>
      <c r="NIL23" s="225"/>
      <c r="NIM23" s="226"/>
      <c r="NIN23" s="227"/>
      <c r="NIO23" s="228"/>
      <c r="NIP23" s="228"/>
      <c r="NIQ23" s="228"/>
      <c r="NIR23" s="228"/>
      <c r="NIS23" s="228"/>
      <c r="NIT23" s="228"/>
      <c r="NIU23" s="226"/>
      <c r="NIV23" s="226"/>
      <c r="NIW23" s="224"/>
      <c r="NIX23" s="225"/>
      <c r="NIY23" s="226"/>
      <c r="NIZ23" s="227"/>
      <c r="NJA23" s="228"/>
      <c r="NJB23" s="228"/>
      <c r="NJC23" s="228"/>
      <c r="NJD23" s="228"/>
      <c r="NJE23" s="228"/>
      <c r="NJF23" s="228"/>
      <c r="NJG23" s="226"/>
      <c r="NJH23" s="226"/>
      <c r="NJI23" s="224"/>
      <c r="NJJ23" s="225"/>
      <c r="NJK23" s="226"/>
      <c r="NJL23" s="227"/>
      <c r="NJM23" s="228"/>
      <c r="NJN23" s="228"/>
      <c r="NJO23" s="228"/>
      <c r="NJP23" s="228"/>
      <c r="NJQ23" s="228"/>
      <c r="NJR23" s="228"/>
      <c r="NJS23" s="226"/>
      <c r="NJT23" s="226"/>
      <c r="NJU23" s="224"/>
      <c r="NJV23" s="225"/>
      <c r="NJW23" s="226"/>
      <c r="NJX23" s="227"/>
      <c r="NJY23" s="228"/>
      <c r="NJZ23" s="228"/>
      <c r="NKA23" s="228"/>
      <c r="NKB23" s="228"/>
      <c r="NKC23" s="228"/>
      <c r="NKD23" s="228"/>
      <c r="NKE23" s="226"/>
      <c r="NKF23" s="226"/>
      <c r="NKG23" s="224"/>
      <c r="NKH23" s="225"/>
      <c r="NKI23" s="226"/>
      <c r="NKJ23" s="227"/>
      <c r="NKK23" s="228"/>
      <c r="NKL23" s="228"/>
      <c r="NKM23" s="228"/>
      <c r="NKN23" s="228"/>
      <c r="NKO23" s="228"/>
      <c r="NKP23" s="228"/>
      <c r="NKQ23" s="226"/>
      <c r="NKR23" s="226"/>
      <c r="NKS23" s="224"/>
      <c r="NKT23" s="225"/>
      <c r="NKU23" s="226"/>
      <c r="NKV23" s="227"/>
      <c r="NKW23" s="228"/>
      <c r="NKX23" s="228"/>
      <c r="NKY23" s="228"/>
      <c r="NKZ23" s="228"/>
      <c r="NLA23" s="228"/>
      <c r="NLB23" s="228"/>
      <c r="NLC23" s="226"/>
      <c r="NLD23" s="226"/>
      <c r="NLE23" s="224"/>
      <c r="NLF23" s="225"/>
      <c r="NLG23" s="226"/>
      <c r="NLH23" s="227"/>
      <c r="NLI23" s="228"/>
      <c r="NLJ23" s="228"/>
      <c r="NLK23" s="228"/>
      <c r="NLL23" s="228"/>
      <c r="NLM23" s="228"/>
      <c r="NLN23" s="228"/>
      <c r="NLO23" s="226"/>
      <c r="NLP23" s="226"/>
      <c r="NLQ23" s="224"/>
      <c r="NLR23" s="225"/>
      <c r="NLS23" s="226"/>
      <c r="NLT23" s="227"/>
      <c r="NLU23" s="228"/>
      <c r="NLV23" s="228"/>
      <c r="NLW23" s="228"/>
      <c r="NLX23" s="228"/>
      <c r="NLY23" s="228"/>
      <c r="NLZ23" s="228"/>
      <c r="NMA23" s="226"/>
      <c r="NMB23" s="226"/>
      <c r="NMC23" s="224"/>
      <c r="NMD23" s="225"/>
      <c r="NME23" s="226"/>
      <c r="NMF23" s="227"/>
      <c r="NMG23" s="228"/>
      <c r="NMH23" s="228"/>
      <c r="NMI23" s="228"/>
      <c r="NMJ23" s="228"/>
      <c r="NMK23" s="228"/>
      <c r="NML23" s="228"/>
      <c r="NMM23" s="226"/>
      <c r="NMN23" s="226"/>
      <c r="NMO23" s="224"/>
      <c r="NMP23" s="225"/>
      <c r="NMQ23" s="226"/>
      <c r="NMR23" s="227"/>
      <c r="NMS23" s="228"/>
      <c r="NMT23" s="228"/>
      <c r="NMU23" s="228"/>
      <c r="NMV23" s="228"/>
      <c r="NMW23" s="228"/>
      <c r="NMX23" s="228"/>
      <c r="NMY23" s="226"/>
      <c r="NMZ23" s="226"/>
      <c r="NNA23" s="224"/>
      <c r="NNB23" s="225"/>
      <c r="NNC23" s="226"/>
      <c r="NND23" s="227"/>
      <c r="NNE23" s="228"/>
      <c r="NNF23" s="228"/>
      <c r="NNG23" s="228"/>
      <c r="NNH23" s="228"/>
      <c r="NNI23" s="228"/>
      <c r="NNJ23" s="228"/>
      <c r="NNK23" s="226"/>
      <c r="NNL23" s="226"/>
      <c r="NNM23" s="224"/>
      <c r="NNN23" s="225"/>
      <c r="NNO23" s="226"/>
      <c r="NNP23" s="227"/>
      <c r="NNQ23" s="228"/>
      <c r="NNR23" s="228"/>
      <c r="NNS23" s="228"/>
      <c r="NNT23" s="228"/>
      <c r="NNU23" s="228"/>
      <c r="NNV23" s="228"/>
      <c r="NNW23" s="226"/>
      <c r="NNX23" s="226"/>
      <c r="NNY23" s="224"/>
      <c r="NNZ23" s="225"/>
      <c r="NOA23" s="226"/>
      <c r="NOB23" s="227"/>
      <c r="NOC23" s="228"/>
      <c r="NOD23" s="228"/>
      <c r="NOE23" s="228"/>
      <c r="NOF23" s="228"/>
      <c r="NOG23" s="228"/>
      <c r="NOH23" s="228"/>
      <c r="NOI23" s="226"/>
      <c r="NOJ23" s="226"/>
      <c r="NOK23" s="224"/>
      <c r="NOL23" s="225"/>
      <c r="NOM23" s="226"/>
      <c r="NON23" s="227"/>
      <c r="NOO23" s="228"/>
      <c r="NOP23" s="228"/>
      <c r="NOQ23" s="228"/>
      <c r="NOR23" s="228"/>
      <c r="NOS23" s="228"/>
      <c r="NOT23" s="228"/>
      <c r="NOU23" s="226"/>
      <c r="NOV23" s="226"/>
      <c r="NOW23" s="224"/>
      <c r="NOX23" s="225"/>
      <c r="NOY23" s="226"/>
      <c r="NOZ23" s="227"/>
      <c r="NPA23" s="228"/>
      <c r="NPB23" s="228"/>
      <c r="NPC23" s="228"/>
      <c r="NPD23" s="228"/>
      <c r="NPE23" s="228"/>
      <c r="NPF23" s="228"/>
      <c r="NPG23" s="226"/>
      <c r="NPH23" s="226"/>
      <c r="NPI23" s="224"/>
      <c r="NPJ23" s="225"/>
      <c r="NPK23" s="226"/>
      <c r="NPL23" s="227"/>
      <c r="NPM23" s="228"/>
      <c r="NPN23" s="228"/>
      <c r="NPO23" s="228"/>
      <c r="NPP23" s="228"/>
      <c r="NPQ23" s="228"/>
      <c r="NPR23" s="228"/>
      <c r="NPS23" s="226"/>
      <c r="NPT23" s="226"/>
      <c r="NPU23" s="224"/>
      <c r="NPV23" s="225"/>
      <c r="NPW23" s="226"/>
      <c r="NPX23" s="227"/>
      <c r="NPY23" s="228"/>
      <c r="NPZ23" s="228"/>
      <c r="NQA23" s="228"/>
      <c r="NQB23" s="228"/>
      <c r="NQC23" s="228"/>
      <c r="NQD23" s="228"/>
      <c r="NQE23" s="226"/>
      <c r="NQF23" s="226"/>
      <c r="NQG23" s="224"/>
      <c r="NQH23" s="225"/>
      <c r="NQI23" s="226"/>
      <c r="NQJ23" s="227"/>
      <c r="NQK23" s="228"/>
      <c r="NQL23" s="228"/>
      <c r="NQM23" s="228"/>
      <c r="NQN23" s="228"/>
      <c r="NQO23" s="228"/>
      <c r="NQP23" s="228"/>
      <c r="NQQ23" s="226"/>
      <c r="NQR23" s="226"/>
      <c r="NQS23" s="224"/>
      <c r="NQT23" s="225"/>
      <c r="NQU23" s="226"/>
      <c r="NQV23" s="227"/>
      <c r="NQW23" s="228"/>
      <c r="NQX23" s="228"/>
      <c r="NQY23" s="228"/>
      <c r="NQZ23" s="228"/>
      <c r="NRA23" s="228"/>
      <c r="NRB23" s="228"/>
      <c r="NRC23" s="226"/>
      <c r="NRD23" s="226"/>
      <c r="NRE23" s="224"/>
      <c r="NRF23" s="225"/>
      <c r="NRG23" s="226"/>
      <c r="NRH23" s="227"/>
      <c r="NRI23" s="228"/>
      <c r="NRJ23" s="228"/>
      <c r="NRK23" s="228"/>
      <c r="NRL23" s="228"/>
      <c r="NRM23" s="228"/>
      <c r="NRN23" s="228"/>
      <c r="NRO23" s="226"/>
      <c r="NRP23" s="226"/>
      <c r="NRQ23" s="224"/>
      <c r="NRR23" s="225"/>
      <c r="NRS23" s="226"/>
      <c r="NRT23" s="227"/>
      <c r="NRU23" s="228"/>
      <c r="NRV23" s="228"/>
      <c r="NRW23" s="228"/>
      <c r="NRX23" s="228"/>
      <c r="NRY23" s="228"/>
      <c r="NRZ23" s="228"/>
      <c r="NSA23" s="226"/>
      <c r="NSB23" s="226"/>
      <c r="NSC23" s="224"/>
      <c r="NSD23" s="225"/>
      <c r="NSE23" s="226"/>
      <c r="NSF23" s="227"/>
      <c r="NSG23" s="228"/>
      <c r="NSH23" s="228"/>
      <c r="NSI23" s="228"/>
      <c r="NSJ23" s="228"/>
      <c r="NSK23" s="228"/>
      <c r="NSL23" s="228"/>
      <c r="NSM23" s="226"/>
      <c r="NSN23" s="226"/>
      <c r="NSO23" s="224"/>
      <c r="NSP23" s="225"/>
      <c r="NSQ23" s="226"/>
      <c r="NSR23" s="227"/>
      <c r="NSS23" s="228"/>
      <c r="NST23" s="228"/>
      <c r="NSU23" s="228"/>
      <c r="NSV23" s="228"/>
      <c r="NSW23" s="228"/>
      <c r="NSX23" s="228"/>
      <c r="NSY23" s="226"/>
      <c r="NSZ23" s="226"/>
      <c r="NTA23" s="224"/>
      <c r="NTB23" s="225"/>
      <c r="NTC23" s="226"/>
      <c r="NTD23" s="227"/>
      <c r="NTE23" s="228"/>
      <c r="NTF23" s="228"/>
      <c r="NTG23" s="228"/>
      <c r="NTH23" s="228"/>
      <c r="NTI23" s="228"/>
      <c r="NTJ23" s="228"/>
      <c r="NTK23" s="226"/>
      <c r="NTL23" s="226"/>
      <c r="NTM23" s="224"/>
      <c r="NTN23" s="225"/>
      <c r="NTO23" s="226"/>
      <c r="NTP23" s="227"/>
      <c r="NTQ23" s="228"/>
      <c r="NTR23" s="228"/>
      <c r="NTS23" s="228"/>
      <c r="NTT23" s="228"/>
      <c r="NTU23" s="228"/>
      <c r="NTV23" s="228"/>
      <c r="NTW23" s="226"/>
      <c r="NTX23" s="226"/>
      <c r="NTY23" s="224"/>
      <c r="NTZ23" s="225"/>
      <c r="NUA23" s="226"/>
      <c r="NUB23" s="227"/>
      <c r="NUC23" s="228"/>
      <c r="NUD23" s="228"/>
      <c r="NUE23" s="228"/>
      <c r="NUF23" s="228"/>
      <c r="NUG23" s="228"/>
      <c r="NUH23" s="228"/>
      <c r="NUI23" s="226"/>
      <c r="NUJ23" s="226"/>
      <c r="NUK23" s="224"/>
      <c r="NUL23" s="225"/>
      <c r="NUM23" s="226"/>
      <c r="NUN23" s="227"/>
      <c r="NUO23" s="228"/>
      <c r="NUP23" s="228"/>
      <c r="NUQ23" s="228"/>
      <c r="NUR23" s="228"/>
      <c r="NUS23" s="228"/>
      <c r="NUT23" s="228"/>
      <c r="NUU23" s="226"/>
      <c r="NUV23" s="226"/>
      <c r="NUW23" s="224"/>
      <c r="NUX23" s="225"/>
      <c r="NUY23" s="226"/>
      <c r="NUZ23" s="227"/>
      <c r="NVA23" s="228"/>
      <c r="NVB23" s="228"/>
      <c r="NVC23" s="228"/>
      <c r="NVD23" s="228"/>
      <c r="NVE23" s="228"/>
      <c r="NVF23" s="228"/>
      <c r="NVG23" s="226"/>
      <c r="NVH23" s="226"/>
      <c r="NVI23" s="224"/>
      <c r="NVJ23" s="225"/>
      <c r="NVK23" s="226"/>
      <c r="NVL23" s="227"/>
      <c r="NVM23" s="228"/>
      <c r="NVN23" s="228"/>
      <c r="NVO23" s="228"/>
      <c r="NVP23" s="228"/>
      <c r="NVQ23" s="228"/>
      <c r="NVR23" s="228"/>
      <c r="NVS23" s="226"/>
      <c r="NVT23" s="226"/>
      <c r="NVU23" s="224"/>
      <c r="NVV23" s="225"/>
      <c r="NVW23" s="226"/>
      <c r="NVX23" s="227"/>
      <c r="NVY23" s="228"/>
      <c r="NVZ23" s="228"/>
      <c r="NWA23" s="228"/>
      <c r="NWB23" s="228"/>
      <c r="NWC23" s="228"/>
      <c r="NWD23" s="228"/>
      <c r="NWE23" s="226"/>
      <c r="NWF23" s="226"/>
      <c r="NWG23" s="224"/>
      <c r="NWH23" s="225"/>
      <c r="NWI23" s="226"/>
      <c r="NWJ23" s="227"/>
      <c r="NWK23" s="228"/>
      <c r="NWL23" s="228"/>
      <c r="NWM23" s="228"/>
      <c r="NWN23" s="228"/>
      <c r="NWO23" s="228"/>
      <c r="NWP23" s="228"/>
      <c r="NWQ23" s="226"/>
      <c r="NWR23" s="226"/>
      <c r="NWS23" s="224"/>
      <c r="NWT23" s="225"/>
      <c r="NWU23" s="226"/>
      <c r="NWV23" s="227"/>
      <c r="NWW23" s="228"/>
      <c r="NWX23" s="228"/>
      <c r="NWY23" s="228"/>
      <c r="NWZ23" s="228"/>
      <c r="NXA23" s="228"/>
      <c r="NXB23" s="228"/>
      <c r="NXC23" s="226"/>
      <c r="NXD23" s="226"/>
      <c r="NXE23" s="224"/>
      <c r="NXF23" s="225"/>
      <c r="NXG23" s="226"/>
      <c r="NXH23" s="227"/>
      <c r="NXI23" s="228"/>
      <c r="NXJ23" s="228"/>
      <c r="NXK23" s="228"/>
      <c r="NXL23" s="228"/>
      <c r="NXM23" s="228"/>
      <c r="NXN23" s="228"/>
      <c r="NXO23" s="226"/>
      <c r="NXP23" s="226"/>
      <c r="NXQ23" s="224"/>
      <c r="NXR23" s="225"/>
      <c r="NXS23" s="226"/>
      <c r="NXT23" s="227"/>
      <c r="NXU23" s="228"/>
      <c r="NXV23" s="228"/>
      <c r="NXW23" s="228"/>
      <c r="NXX23" s="228"/>
      <c r="NXY23" s="228"/>
      <c r="NXZ23" s="228"/>
      <c r="NYA23" s="226"/>
      <c r="NYB23" s="226"/>
      <c r="NYC23" s="224"/>
      <c r="NYD23" s="225"/>
      <c r="NYE23" s="226"/>
      <c r="NYF23" s="227"/>
      <c r="NYG23" s="228"/>
      <c r="NYH23" s="228"/>
      <c r="NYI23" s="228"/>
      <c r="NYJ23" s="228"/>
      <c r="NYK23" s="228"/>
      <c r="NYL23" s="228"/>
      <c r="NYM23" s="226"/>
      <c r="NYN23" s="226"/>
      <c r="NYO23" s="224"/>
      <c r="NYP23" s="225"/>
      <c r="NYQ23" s="226"/>
      <c r="NYR23" s="227"/>
      <c r="NYS23" s="228"/>
      <c r="NYT23" s="228"/>
      <c r="NYU23" s="228"/>
      <c r="NYV23" s="228"/>
      <c r="NYW23" s="228"/>
      <c r="NYX23" s="228"/>
      <c r="NYY23" s="226"/>
      <c r="NYZ23" s="226"/>
      <c r="NZA23" s="224"/>
      <c r="NZB23" s="225"/>
      <c r="NZC23" s="226"/>
      <c r="NZD23" s="227"/>
      <c r="NZE23" s="228"/>
      <c r="NZF23" s="228"/>
      <c r="NZG23" s="228"/>
      <c r="NZH23" s="228"/>
      <c r="NZI23" s="228"/>
      <c r="NZJ23" s="228"/>
      <c r="NZK23" s="226"/>
      <c r="NZL23" s="226"/>
      <c r="NZM23" s="224"/>
      <c r="NZN23" s="225"/>
      <c r="NZO23" s="226"/>
      <c r="NZP23" s="227"/>
      <c r="NZQ23" s="228"/>
      <c r="NZR23" s="228"/>
      <c r="NZS23" s="228"/>
      <c r="NZT23" s="228"/>
      <c r="NZU23" s="228"/>
      <c r="NZV23" s="228"/>
      <c r="NZW23" s="226"/>
      <c r="NZX23" s="226"/>
      <c r="NZY23" s="224"/>
      <c r="NZZ23" s="225"/>
      <c r="OAA23" s="226"/>
      <c r="OAB23" s="227"/>
      <c r="OAC23" s="228"/>
      <c r="OAD23" s="228"/>
      <c r="OAE23" s="228"/>
      <c r="OAF23" s="228"/>
      <c r="OAG23" s="228"/>
      <c r="OAH23" s="228"/>
      <c r="OAI23" s="226"/>
      <c r="OAJ23" s="226"/>
      <c r="OAK23" s="224"/>
      <c r="OAL23" s="225"/>
      <c r="OAM23" s="226"/>
      <c r="OAN23" s="227"/>
      <c r="OAO23" s="228"/>
      <c r="OAP23" s="228"/>
      <c r="OAQ23" s="228"/>
      <c r="OAR23" s="228"/>
      <c r="OAS23" s="228"/>
      <c r="OAT23" s="228"/>
      <c r="OAU23" s="226"/>
      <c r="OAV23" s="226"/>
      <c r="OAW23" s="224"/>
      <c r="OAX23" s="225"/>
      <c r="OAY23" s="226"/>
      <c r="OAZ23" s="227"/>
      <c r="OBA23" s="228"/>
      <c r="OBB23" s="228"/>
      <c r="OBC23" s="228"/>
      <c r="OBD23" s="228"/>
      <c r="OBE23" s="228"/>
      <c r="OBF23" s="228"/>
      <c r="OBG23" s="226"/>
      <c r="OBH23" s="226"/>
      <c r="OBI23" s="224"/>
      <c r="OBJ23" s="225"/>
      <c r="OBK23" s="226"/>
      <c r="OBL23" s="227"/>
      <c r="OBM23" s="228"/>
      <c r="OBN23" s="228"/>
      <c r="OBO23" s="228"/>
      <c r="OBP23" s="228"/>
      <c r="OBQ23" s="228"/>
      <c r="OBR23" s="228"/>
      <c r="OBS23" s="226"/>
      <c r="OBT23" s="226"/>
      <c r="OBU23" s="224"/>
      <c r="OBV23" s="225"/>
      <c r="OBW23" s="226"/>
      <c r="OBX23" s="227"/>
      <c r="OBY23" s="228"/>
      <c r="OBZ23" s="228"/>
      <c r="OCA23" s="228"/>
      <c r="OCB23" s="228"/>
      <c r="OCC23" s="228"/>
      <c r="OCD23" s="228"/>
      <c r="OCE23" s="226"/>
      <c r="OCF23" s="226"/>
      <c r="OCG23" s="224"/>
      <c r="OCH23" s="225"/>
      <c r="OCI23" s="226"/>
      <c r="OCJ23" s="227"/>
      <c r="OCK23" s="228"/>
      <c r="OCL23" s="228"/>
      <c r="OCM23" s="228"/>
      <c r="OCN23" s="228"/>
      <c r="OCO23" s="228"/>
      <c r="OCP23" s="228"/>
      <c r="OCQ23" s="226"/>
      <c r="OCR23" s="226"/>
      <c r="OCS23" s="224"/>
      <c r="OCT23" s="225"/>
      <c r="OCU23" s="226"/>
      <c r="OCV23" s="227"/>
      <c r="OCW23" s="228"/>
      <c r="OCX23" s="228"/>
      <c r="OCY23" s="228"/>
      <c r="OCZ23" s="228"/>
      <c r="ODA23" s="228"/>
      <c r="ODB23" s="228"/>
      <c r="ODC23" s="226"/>
      <c r="ODD23" s="226"/>
      <c r="ODE23" s="224"/>
      <c r="ODF23" s="225"/>
      <c r="ODG23" s="226"/>
      <c r="ODH23" s="227"/>
      <c r="ODI23" s="228"/>
      <c r="ODJ23" s="228"/>
      <c r="ODK23" s="228"/>
      <c r="ODL23" s="228"/>
      <c r="ODM23" s="228"/>
      <c r="ODN23" s="228"/>
      <c r="ODO23" s="226"/>
      <c r="ODP23" s="226"/>
      <c r="ODQ23" s="224"/>
      <c r="ODR23" s="225"/>
      <c r="ODS23" s="226"/>
      <c r="ODT23" s="227"/>
      <c r="ODU23" s="228"/>
      <c r="ODV23" s="228"/>
      <c r="ODW23" s="228"/>
      <c r="ODX23" s="228"/>
      <c r="ODY23" s="228"/>
      <c r="ODZ23" s="228"/>
      <c r="OEA23" s="226"/>
      <c r="OEB23" s="226"/>
      <c r="OEC23" s="224"/>
      <c r="OED23" s="225"/>
      <c r="OEE23" s="226"/>
      <c r="OEF23" s="227"/>
      <c r="OEG23" s="228"/>
      <c r="OEH23" s="228"/>
      <c r="OEI23" s="228"/>
      <c r="OEJ23" s="228"/>
      <c r="OEK23" s="228"/>
      <c r="OEL23" s="228"/>
      <c r="OEM23" s="226"/>
      <c r="OEN23" s="226"/>
      <c r="OEO23" s="224"/>
      <c r="OEP23" s="225"/>
      <c r="OEQ23" s="226"/>
      <c r="OER23" s="227"/>
      <c r="OES23" s="228"/>
      <c r="OET23" s="228"/>
      <c r="OEU23" s="228"/>
      <c r="OEV23" s="228"/>
      <c r="OEW23" s="228"/>
      <c r="OEX23" s="228"/>
      <c r="OEY23" s="226"/>
      <c r="OEZ23" s="226"/>
      <c r="OFA23" s="224"/>
      <c r="OFB23" s="225"/>
      <c r="OFC23" s="226"/>
      <c r="OFD23" s="227"/>
      <c r="OFE23" s="228"/>
      <c r="OFF23" s="228"/>
      <c r="OFG23" s="228"/>
      <c r="OFH23" s="228"/>
      <c r="OFI23" s="228"/>
      <c r="OFJ23" s="228"/>
      <c r="OFK23" s="226"/>
      <c r="OFL23" s="226"/>
      <c r="OFM23" s="224"/>
      <c r="OFN23" s="225"/>
      <c r="OFO23" s="226"/>
      <c r="OFP23" s="227"/>
      <c r="OFQ23" s="228"/>
      <c r="OFR23" s="228"/>
      <c r="OFS23" s="228"/>
      <c r="OFT23" s="228"/>
      <c r="OFU23" s="228"/>
      <c r="OFV23" s="228"/>
      <c r="OFW23" s="226"/>
      <c r="OFX23" s="226"/>
      <c r="OFY23" s="224"/>
      <c r="OFZ23" s="225"/>
      <c r="OGA23" s="226"/>
      <c r="OGB23" s="227"/>
      <c r="OGC23" s="228"/>
      <c r="OGD23" s="228"/>
      <c r="OGE23" s="228"/>
      <c r="OGF23" s="228"/>
      <c r="OGG23" s="228"/>
      <c r="OGH23" s="228"/>
      <c r="OGI23" s="226"/>
      <c r="OGJ23" s="226"/>
      <c r="OGK23" s="224"/>
      <c r="OGL23" s="225"/>
      <c r="OGM23" s="226"/>
      <c r="OGN23" s="227"/>
      <c r="OGO23" s="228"/>
      <c r="OGP23" s="228"/>
      <c r="OGQ23" s="228"/>
      <c r="OGR23" s="228"/>
      <c r="OGS23" s="228"/>
      <c r="OGT23" s="228"/>
      <c r="OGU23" s="226"/>
      <c r="OGV23" s="226"/>
      <c r="OGW23" s="224"/>
      <c r="OGX23" s="225"/>
      <c r="OGY23" s="226"/>
      <c r="OGZ23" s="227"/>
      <c r="OHA23" s="228"/>
      <c r="OHB23" s="228"/>
      <c r="OHC23" s="228"/>
      <c r="OHD23" s="228"/>
      <c r="OHE23" s="228"/>
      <c r="OHF23" s="228"/>
      <c r="OHG23" s="226"/>
      <c r="OHH23" s="226"/>
      <c r="OHI23" s="224"/>
      <c r="OHJ23" s="225"/>
      <c r="OHK23" s="226"/>
      <c r="OHL23" s="227"/>
      <c r="OHM23" s="228"/>
      <c r="OHN23" s="228"/>
      <c r="OHO23" s="228"/>
      <c r="OHP23" s="228"/>
      <c r="OHQ23" s="228"/>
      <c r="OHR23" s="228"/>
      <c r="OHS23" s="226"/>
      <c r="OHT23" s="226"/>
      <c r="OHU23" s="224"/>
      <c r="OHV23" s="225"/>
      <c r="OHW23" s="226"/>
      <c r="OHX23" s="227"/>
      <c r="OHY23" s="228"/>
      <c r="OHZ23" s="228"/>
      <c r="OIA23" s="228"/>
      <c r="OIB23" s="228"/>
      <c r="OIC23" s="228"/>
      <c r="OID23" s="228"/>
      <c r="OIE23" s="226"/>
      <c r="OIF23" s="226"/>
      <c r="OIG23" s="224"/>
      <c r="OIH23" s="225"/>
      <c r="OII23" s="226"/>
      <c r="OIJ23" s="227"/>
      <c r="OIK23" s="228"/>
      <c r="OIL23" s="228"/>
      <c r="OIM23" s="228"/>
      <c r="OIN23" s="228"/>
      <c r="OIO23" s="228"/>
      <c r="OIP23" s="228"/>
      <c r="OIQ23" s="226"/>
      <c r="OIR23" s="226"/>
      <c r="OIS23" s="224"/>
      <c r="OIT23" s="225"/>
      <c r="OIU23" s="226"/>
      <c r="OIV23" s="227"/>
      <c r="OIW23" s="228"/>
      <c r="OIX23" s="228"/>
      <c r="OIY23" s="228"/>
      <c r="OIZ23" s="228"/>
      <c r="OJA23" s="228"/>
      <c r="OJB23" s="228"/>
      <c r="OJC23" s="226"/>
      <c r="OJD23" s="226"/>
      <c r="OJE23" s="224"/>
      <c r="OJF23" s="225"/>
      <c r="OJG23" s="226"/>
      <c r="OJH23" s="227"/>
      <c r="OJI23" s="228"/>
      <c r="OJJ23" s="228"/>
      <c r="OJK23" s="228"/>
      <c r="OJL23" s="228"/>
      <c r="OJM23" s="228"/>
      <c r="OJN23" s="228"/>
      <c r="OJO23" s="226"/>
      <c r="OJP23" s="226"/>
      <c r="OJQ23" s="224"/>
      <c r="OJR23" s="225"/>
      <c r="OJS23" s="226"/>
      <c r="OJT23" s="227"/>
      <c r="OJU23" s="228"/>
      <c r="OJV23" s="228"/>
      <c r="OJW23" s="228"/>
      <c r="OJX23" s="228"/>
      <c r="OJY23" s="228"/>
      <c r="OJZ23" s="228"/>
      <c r="OKA23" s="226"/>
      <c r="OKB23" s="226"/>
      <c r="OKC23" s="224"/>
      <c r="OKD23" s="225"/>
      <c r="OKE23" s="226"/>
      <c r="OKF23" s="227"/>
      <c r="OKG23" s="228"/>
      <c r="OKH23" s="228"/>
      <c r="OKI23" s="228"/>
      <c r="OKJ23" s="228"/>
      <c r="OKK23" s="228"/>
      <c r="OKL23" s="228"/>
      <c r="OKM23" s="226"/>
      <c r="OKN23" s="226"/>
      <c r="OKO23" s="224"/>
      <c r="OKP23" s="225"/>
      <c r="OKQ23" s="226"/>
      <c r="OKR23" s="227"/>
      <c r="OKS23" s="228"/>
      <c r="OKT23" s="228"/>
      <c r="OKU23" s="228"/>
      <c r="OKV23" s="228"/>
      <c r="OKW23" s="228"/>
      <c r="OKX23" s="228"/>
      <c r="OKY23" s="226"/>
      <c r="OKZ23" s="226"/>
      <c r="OLA23" s="224"/>
      <c r="OLB23" s="225"/>
      <c r="OLC23" s="226"/>
      <c r="OLD23" s="227"/>
      <c r="OLE23" s="228"/>
      <c r="OLF23" s="228"/>
      <c r="OLG23" s="228"/>
      <c r="OLH23" s="228"/>
      <c r="OLI23" s="228"/>
      <c r="OLJ23" s="228"/>
      <c r="OLK23" s="226"/>
      <c r="OLL23" s="226"/>
      <c r="OLM23" s="224"/>
      <c r="OLN23" s="225"/>
      <c r="OLO23" s="226"/>
      <c r="OLP23" s="227"/>
      <c r="OLQ23" s="228"/>
      <c r="OLR23" s="228"/>
      <c r="OLS23" s="228"/>
      <c r="OLT23" s="228"/>
      <c r="OLU23" s="228"/>
      <c r="OLV23" s="228"/>
      <c r="OLW23" s="226"/>
      <c r="OLX23" s="226"/>
      <c r="OLY23" s="224"/>
      <c r="OLZ23" s="225"/>
      <c r="OMA23" s="226"/>
      <c r="OMB23" s="227"/>
      <c r="OMC23" s="228"/>
      <c r="OMD23" s="228"/>
      <c r="OME23" s="228"/>
      <c r="OMF23" s="228"/>
      <c r="OMG23" s="228"/>
      <c r="OMH23" s="228"/>
      <c r="OMI23" s="226"/>
      <c r="OMJ23" s="226"/>
      <c r="OMK23" s="224"/>
      <c r="OML23" s="225"/>
      <c r="OMM23" s="226"/>
      <c r="OMN23" s="227"/>
      <c r="OMO23" s="228"/>
      <c r="OMP23" s="228"/>
      <c r="OMQ23" s="228"/>
      <c r="OMR23" s="228"/>
      <c r="OMS23" s="228"/>
      <c r="OMT23" s="228"/>
      <c r="OMU23" s="226"/>
      <c r="OMV23" s="226"/>
      <c r="OMW23" s="224"/>
      <c r="OMX23" s="225"/>
      <c r="OMY23" s="226"/>
      <c r="OMZ23" s="227"/>
      <c r="ONA23" s="228"/>
      <c r="ONB23" s="228"/>
      <c r="ONC23" s="228"/>
      <c r="OND23" s="228"/>
      <c r="ONE23" s="228"/>
      <c r="ONF23" s="228"/>
      <c r="ONG23" s="226"/>
      <c r="ONH23" s="226"/>
      <c r="ONI23" s="224"/>
      <c r="ONJ23" s="225"/>
      <c r="ONK23" s="226"/>
      <c r="ONL23" s="227"/>
      <c r="ONM23" s="228"/>
      <c r="ONN23" s="228"/>
      <c r="ONO23" s="228"/>
      <c r="ONP23" s="228"/>
      <c r="ONQ23" s="228"/>
      <c r="ONR23" s="228"/>
      <c r="ONS23" s="226"/>
      <c r="ONT23" s="226"/>
      <c r="ONU23" s="224"/>
      <c r="ONV23" s="225"/>
      <c r="ONW23" s="226"/>
      <c r="ONX23" s="227"/>
      <c r="ONY23" s="228"/>
      <c r="ONZ23" s="228"/>
      <c r="OOA23" s="228"/>
      <c r="OOB23" s="228"/>
      <c r="OOC23" s="228"/>
      <c r="OOD23" s="228"/>
      <c r="OOE23" s="226"/>
      <c r="OOF23" s="226"/>
      <c r="OOG23" s="224"/>
      <c r="OOH23" s="225"/>
      <c r="OOI23" s="226"/>
      <c r="OOJ23" s="227"/>
      <c r="OOK23" s="228"/>
      <c r="OOL23" s="228"/>
      <c r="OOM23" s="228"/>
      <c r="OON23" s="228"/>
      <c r="OOO23" s="228"/>
      <c r="OOP23" s="228"/>
      <c r="OOQ23" s="226"/>
      <c r="OOR23" s="226"/>
      <c r="OOS23" s="224"/>
      <c r="OOT23" s="225"/>
      <c r="OOU23" s="226"/>
      <c r="OOV23" s="227"/>
      <c r="OOW23" s="228"/>
      <c r="OOX23" s="228"/>
      <c r="OOY23" s="228"/>
      <c r="OOZ23" s="228"/>
      <c r="OPA23" s="228"/>
      <c r="OPB23" s="228"/>
      <c r="OPC23" s="226"/>
      <c r="OPD23" s="226"/>
      <c r="OPE23" s="224"/>
      <c r="OPF23" s="225"/>
      <c r="OPG23" s="226"/>
      <c r="OPH23" s="227"/>
      <c r="OPI23" s="228"/>
      <c r="OPJ23" s="228"/>
      <c r="OPK23" s="228"/>
      <c r="OPL23" s="228"/>
      <c r="OPM23" s="228"/>
      <c r="OPN23" s="228"/>
      <c r="OPO23" s="226"/>
      <c r="OPP23" s="226"/>
      <c r="OPQ23" s="224"/>
      <c r="OPR23" s="225"/>
      <c r="OPS23" s="226"/>
      <c r="OPT23" s="227"/>
      <c r="OPU23" s="228"/>
      <c r="OPV23" s="228"/>
      <c r="OPW23" s="228"/>
      <c r="OPX23" s="228"/>
      <c r="OPY23" s="228"/>
      <c r="OPZ23" s="228"/>
      <c r="OQA23" s="226"/>
      <c r="OQB23" s="226"/>
      <c r="OQC23" s="224"/>
      <c r="OQD23" s="225"/>
      <c r="OQE23" s="226"/>
      <c r="OQF23" s="227"/>
      <c r="OQG23" s="228"/>
      <c r="OQH23" s="228"/>
      <c r="OQI23" s="228"/>
      <c r="OQJ23" s="228"/>
      <c r="OQK23" s="228"/>
      <c r="OQL23" s="228"/>
      <c r="OQM23" s="226"/>
      <c r="OQN23" s="226"/>
      <c r="OQO23" s="224"/>
      <c r="OQP23" s="225"/>
      <c r="OQQ23" s="226"/>
      <c r="OQR23" s="227"/>
      <c r="OQS23" s="228"/>
      <c r="OQT23" s="228"/>
      <c r="OQU23" s="228"/>
      <c r="OQV23" s="228"/>
      <c r="OQW23" s="228"/>
      <c r="OQX23" s="228"/>
      <c r="OQY23" s="226"/>
      <c r="OQZ23" s="226"/>
      <c r="ORA23" s="224"/>
      <c r="ORB23" s="225"/>
      <c r="ORC23" s="226"/>
      <c r="ORD23" s="227"/>
      <c r="ORE23" s="228"/>
      <c r="ORF23" s="228"/>
      <c r="ORG23" s="228"/>
      <c r="ORH23" s="228"/>
      <c r="ORI23" s="228"/>
      <c r="ORJ23" s="228"/>
      <c r="ORK23" s="226"/>
      <c r="ORL23" s="226"/>
      <c r="ORM23" s="224"/>
      <c r="ORN23" s="225"/>
      <c r="ORO23" s="226"/>
      <c r="ORP23" s="227"/>
      <c r="ORQ23" s="228"/>
      <c r="ORR23" s="228"/>
      <c r="ORS23" s="228"/>
      <c r="ORT23" s="228"/>
      <c r="ORU23" s="228"/>
      <c r="ORV23" s="228"/>
      <c r="ORW23" s="226"/>
      <c r="ORX23" s="226"/>
      <c r="ORY23" s="224"/>
      <c r="ORZ23" s="225"/>
      <c r="OSA23" s="226"/>
      <c r="OSB23" s="227"/>
      <c r="OSC23" s="228"/>
      <c r="OSD23" s="228"/>
      <c r="OSE23" s="228"/>
      <c r="OSF23" s="228"/>
      <c r="OSG23" s="228"/>
      <c r="OSH23" s="228"/>
      <c r="OSI23" s="226"/>
      <c r="OSJ23" s="226"/>
      <c r="OSK23" s="224"/>
      <c r="OSL23" s="225"/>
      <c r="OSM23" s="226"/>
      <c r="OSN23" s="227"/>
      <c r="OSO23" s="228"/>
      <c r="OSP23" s="228"/>
      <c r="OSQ23" s="228"/>
      <c r="OSR23" s="228"/>
      <c r="OSS23" s="228"/>
      <c r="OST23" s="228"/>
      <c r="OSU23" s="226"/>
      <c r="OSV23" s="226"/>
      <c r="OSW23" s="224"/>
      <c r="OSX23" s="225"/>
      <c r="OSY23" s="226"/>
      <c r="OSZ23" s="227"/>
      <c r="OTA23" s="228"/>
      <c r="OTB23" s="228"/>
      <c r="OTC23" s="228"/>
      <c r="OTD23" s="228"/>
      <c r="OTE23" s="228"/>
      <c r="OTF23" s="228"/>
      <c r="OTG23" s="226"/>
      <c r="OTH23" s="226"/>
      <c r="OTI23" s="224"/>
      <c r="OTJ23" s="225"/>
      <c r="OTK23" s="226"/>
      <c r="OTL23" s="227"/>
      <c r="OTM23" s="228"/>
      <c r="OTN23" s="228"/>
      <c r="OTO23" s="228"/>
      <c r="OTP23" s="228"/>
      <c r="OTQ23" s="228"/>
      <c r="OTR23" s="228"/>
      <c r="OTS23" s="226"/>
      <c r="OTT23" s="226"/>
      <c r="OTU23" s="224"/>
      <c r="OTV23" s="225"/>
      <c r="OTW23" s="226"/>
      <c r="OTX23" s="227"/>
      <c r="OTY23" s="228"/>
      <c r="OTZ23" s="228"/>
      <c r="OUA23" s="228"/>
      <c r="OUB23" s="228"/>
      <c r="OUC23" s="228"/>
      <c r="OUD23" s="228"/>
      <c r="OUE23" s="226"/>
      <c r="OUF23" s="226"/>
      <c r="OUG23" s="224"/>
      <c r="OUH23" s="225"/>
      <c r="OUI23" s="226"/>
      <c r="OUJ23" s="227"/>
      <c r="OUK23" s="228"/>
      <c r="OUL23" s="228"/>
      <c r="OUM23" s="228"/>
      <c r="OUN23" s="228"/>
      <c r="OUO23" s="228"/>
      <c r="OUP23" s="228"/>
      <c r="OUQ23" s="226"/>
      <c r="OUR23" s="226"/>
      <c r="OUS23" s="224"/>
      <c r="OUT23" s="225"/>
      <c r="OUU23" s="226"/>
      <c r="OUV23" s="227"/>
      <c r="OUW23" s="228"/>
      <c r="OUX23" s="228"/>
      <c r="OUY23" s="228"/>
      <c r="OUZ23" s="228"/>
      <c r="OVA23" s="228"/>
      <c r="OVB23" s="228"/>
      <c r="OVC23" s="226"/>
      <c r="OVD23" s="226"/>
      <c r="OVE23" s="224"/>
      <c r="OVF23" s="225"/>
      <c r="OVG23" s="226"/>
      <c r="OVH23" s="227"/>
      <c r="OVI23" s="228"/>
      <c r="OVJ23" s="228"/>
      <c r="OVK23" s="228"/>
      <c r="OVL23" s="228"/>
      <c r="OVM23" s="228"/>
      <c r="OVN23" s="228"/>
      <c r="OVO23" s="226"/>
      <c r="OVP23" s="226"/>
      <c r="OVQ23" s="224"/>
      <c r="OVR23" s="225"/>
      <c r="OVS23" s="226"/>
      <c r="OVT23" s="227"/>
      <c r="OVU23" s="228"/>
      <c r="OVV23" s="228"/>
      <c r="OVW23" s="228"/>
      <c r="OVX23" s="228"/>
      <c r="OVY23" s="228"/>
      <c r="OVZ23" s="228"/>
      <c r="OWA23" s="226"/>
      <c r="OWB23" s="226"/>
      <c r="OWC23" s="224"/>
      <c r="OWD23" s="225"/>
      <c r="OWE23" s="226"/>
      <c r="OWF23" s="227"/>
      <c r="OWG23" s="228"/>
      <c r="OWH23" s="228"/>
      <c r="OWI23" s="228"/>
      <c r="OWJ23" s="228"/>
      <c r="OWK23" s="228"/>
      <c r="OWL23" s="228"/>
      <c r="OWM23" s="226"/>
      <c r="OWN23" s="226"/>
      <c r="OWO23" s="224"/>
      <c r="OWP23" s="225"/>
      <c r="OWQ23" s="226"/>
      <c r="OWR23" s="227"/>
      <c r="OWS23" s="228"/>
      <c r="OWT23" s="228"/>
      <c r="OWU23" s="228"/>
      <c r="OWV23" s="228"/>
      <c r="OWW23" s="228"/>
      <c r="OWX23" s="228"/>
      <c r="OWY23" s="226"/>
      <c r="OWZ23" s="226"/>
      <c r="OXA23" s="224"/>
      <c r="OXB23" s="225"/>
      <c r="OXC23" s="226"/>
      <c r="OXD23" s="227"/>
      <c r="OXE23" s="228"/>
      <c r="OXF23" s="228"/>
      <c r="OXG23" s="228"/>
      <c r="OXH23" s="228"/>
      <c r="OXI23" s="228"/>
      <c r="OXJ23" s="228"/>
      <c r="OXK23" s="226"/>
      <c r="OXL23" s="226"/>
      <c r="OXM23" s="224"/>
      <c r="OXN23" s="225"/>
      <c r="OXO23" s="226"/>
      <c r="OXP23" s="227"/>
      <c r="OXQ23" s="228"/>
      <c r="OXR23" s="228"/>
      <c r="OXS23" s="228"/>
      <c r="OXT23" s="228"/>
      <c r="OXU23" s="228"/>
      <c r="OXV23" s="228"/>
      <c r="OXW23" s="226"/>
      <c r="OXX23" s="226"/>
      <c r="OXY23" s="224"/>
      <c r="OXZ23" s="225"/>
      <c r="OYA23" s="226"/>
      <c r="OYB23" s="227"/>
      <c r="OYC23" s="228"/>
      <c r="OYD23" s="228"/>
      <c r="OYE23" s="228"/>
      <c r="OYF23" s="228"/>
      <c r="OYG23" s="228"/>
      <c r="OYH23" s="228"/>
      <c r="OYI23" s="226"/>
      <c r="OYJ23" s="226"/>
      <c r="OYK23" s="224"/>
      <c r="OYL23" s="225"/>
      <c r="OYM23" s="226"/>
      <c r="OYN23" s="227"/>
      <c r="OYO23" s="228"/>
      <c r="OYP23" s="228"/>
      <c r="OYQ23" s="228"/>
      <c r="OYR23" s="228"/>
      <c r="OYS23" s="228"/>
      <c r="OYT23" s="228"/>
      <c r="OYU23" s="226"/>
      <c r="OYV23" s="226"/>
      <c r="OYW23" s="224"/>
      <c r="OYX23" s="225"/>
      <c r="OYY23" s="226"/>
      <c r="OYZ23" s="227"/>
      <c r="OZA23" s="228"/>
      <c r="OZB23" s="228"/>
      <c r="OZC23" s="228"/>
      <c r="OZD23" s="228"/>
      <c r="OZE23" s="228"/>
      <c r="OZF23" s="228"/>
      <c r="OZG23" s="226"/>
      <c r="OZH23" s="226"/>
      <c r="OZI23" s="224"/>
      <c r="OZJ23" s="225"/>
      <c r="OZK23" s="226"/>
      <c r="OZL23" s="227"/>
      <c r="OZM23" s="228"/>
      <c r="OZN23" s="228"/>
      <c r="OZO23" s="228"/>
      <c r="OZP23" s="228"/>
      <c r="OZQ23" s="228"/>
      <c r="OZR23" s="228"/>
      <c r="OZS23" s="226"/>
      <c r="OZT23" s="226"/>
      <c r="OZU23" s="224"/>
      <c r="OZV23" s="225"/>
      <c r="OZW23" s="226"/>
      <c r="OZX23" s="227"/>
      <c r="OZY23" s="228"/>
      <c r="OZZ23" s="228"/>
      <c r="PAA23" s="228"/>
      <c r="PAB23" s="228"/>
      <c r="PAC23" s="228"/>
      <c r="PAD23" s="228"/>
      <c r="PAE23" s="226"/>
      <c r="PAF23" s="226"/>
      <c r="PAG23" s="224"/>
      <c r="PAH23" s="225"/>
      <c r="PAI23" s="226"/>
      <c r="PAJ23" s="227"/>
      <c r="PAK23" s="228"/>
      <c r="PAL23" s="228"/>
      <c r="PAM23" s="228"/>
      <c r="PAN23" s="228"/>
      <c r="PAO23" s="228"/>
      <c r="PAP23" s="228"/>
      <c r="PAQ23" s="226"/>
      <c r="PAR23" s="226"/>
      <c r="PAS23" s="224"/>
      <c r="PAT23" s="225"/>
      <c r="PAU23" s="226"/>
      <c r="PAV23" s="227"/>
      <c r="PAW23" s="228"/>
      <c r="PAX23" s="228"/>
      <c r="PAY23" s="228"/>
      <c r="PAZ23" s="228"/>
      <c r="PBA23" s="228"/>
      <c r="PBB23" s="228"/>
      <c r="PBC23" s="226"/>
      <c r="PBD23" s="226"/>
      <c r="PBE23" s="224"/>
      <c r="PBF23" s="225"/>
      <c r="PBG23" s="226"/>
      <c r="PBH23" s="227"/>
      <c r="PBI23" s="228"/>
      <c r="PBJ23" s="228"/>
      <c r="PBK23" s="228"/>
      <c r="PBL23" s="228"/>
      <c r="PBM23" s="228"/>
      <c r="PBN23" s="228"/>
      <c r="PBO23" s="226"/>
      <c r="PBP23" s="226"/>
      <c r="PBQ23" s="224"/>
      <c r="PBR23" s="225"/>
      <c r="PBS23" s="226"/>
      <c r="PBT23" s="227"/>
      <c r="PBU23" s="228"/>
      <c r="PBV23" s="228"/>
      <c r="PBW23" s="228"/>
      <c r="PBX23" s="228"/>
      <c r="PBY23" s="228"/>
      <c r="PBZ23" s="228"/>
      <c r="PCA23" s="226"/>
      <c r="PCB23" s="226"/>
      <c r="PCC23" s="224"/>
      <c r="PCD23" s="225"/>
      <c r="PCE23" s="226"/>
      <c r="PCF23" s="227"/>
      <c r="PCG23" s="228"/>
      <c r="PCH23" s="228"/>
      <c r="PCI23" s="228"/>
      <c r="PCJ23" s="228"/>
      <c r="PCK23" s="228"/>
      <c r="PCL23" s="228"/>
      <c r="PCM23" s="226"/>
      <c r="PCN23" s="226"/>
      <c r="PCO23" s="224"/>
      <c r="PCP23" s="225"/>
      <c r="PCQ23" s="226"/>
      <c r="PCR23" s="227"/>
      <c r="PCS23" s="228"/>
      <c r="PCT23" s="228"/>
      <c r="PCU23" s="228"/>
      <c r="PCV23" s="228"/>
      <c r="PCW23" s="228"/>
      <c r="PCX23" s="228"/>
      <c r="PCY23" s="226"/>
      <c r="PCZ23" s="226"/>
      <c r="PDA23" s="224"/>
      <c r="PDB23" s="225"/>
      <c r="PDC23" s="226"/>
      <c r="PDD23" s="227"/>
      <c r="PDE23" s="228"/>
      <c r="PDF23" s="228"/>
      <c r="PDG23" s="228"/>
      <c r="PDH23" s="228"/>
      <c r="PDI23" s="228"/>
      <c r="PDJ23" s="228"/>
      <c r="PDK23" s="226"/>
      <c r="PDL23" s="226"/>
      <c r="PDM23" s="224"/>
      <c r="PDN23" s="225"/>
      <c r="PDO23" s="226"/>
      <c r="PDP23" s="227"/>
      <c r="PDQ23" s="228"/>
      <c r="PDR23" s="228"/>
      <c r="PDS23" s="228"/>
      <c r="PDT23" s="228"/>
      <c r="PDU23" s="228"/>
      <c r="PDV23" s="228"/>
      <c r="PDW23" s="226"/>
      <c r="PDX23" s="226"/>
      <c r="PDY23" s="224"/>
      <c r="PDZ23" s="225"/>
      <c r="PEA23" s="226"/>
      <c r="PEB23" s="227"/>
      <c r="PEC23" s="228"/>
      <c r="PED23" s="228"/>
      <c r="PEE23" s="228"/>
      <c r="PEF23" s="228"/>
      <c r="PEG23" s="228"/>
      <c r="PEH23" s="228"/>
      <c r="PEI23" s="226"/>
      <c r="PEJ23" s="226"/>
      <c r="PEK23" s="224"/>
      <c r="PEL23" s="225"/>
      <c r="PEM23" s="226"/>
      <c r="PEN23" s="227"/>
      <c r="PEO23" s="228"/>
      <c r="PEP23" s="228"/>
      <c r="PEQ23" s="228"/>
      <c r="PER23" s="228"/>
      <c r="PES23" s="228"/>
      <c r="PET23" s="228"/>
      <c r="PEU23" s="226"/>
      <c r="PEV23" s="226"/>
      <c r="PEW23" s="224"/>
      <c r="PEX23" s="225"/>
      <c r="PEY23" s="226"/>
      <c r="PEZ23" s="227"/>
      <c r="PFA23" s="228"/>
      <c r="PFB23" s="228"/>
      <c r="PFC23" s="228"/>
      <c r="PFD23" s="228"/>
      <c r="PFE23" s="228"/>
      <c r="PFF23" s="228"/>
      <c r="PFG23" s="226"/>
      <c r="PFH23" s="226"/>
      <c r="PFI23" s="224"/>
      <c r="PFJ23" s="225"/>
      <c r="PFK23" s="226"/>
      <c r="PFL23" s="227"/>
      <c r="PFM23" s="228"/>
      <c r="PFN23" s="228"/>
      <c r="PFO23" s="228"/>
      <c r="PFP23" s="228"/>
      <c r="PFQ23" s="228"/>
      <c r="PFR23" s="228"/>
      <c r="PFS23" s="226"/>
      <c r="PFT23" s="226"/>
      <c r="PFU23" s="224"/>
      <c r="PFV23" s="225"/>
      <c r="PFW23" s="226"/>
      <c r="PFX23" s="227"/>
      <c r="PFY23" s="228"/>
      <c r="PFZ23" s="228"/>
      <c r="PGA23" s="228"/>
      <c r="PGB23" s="228"/>
      <c r="PGC23" s="228"/>
      <c r="PGD23" s="228"/>
      <c r="PGE23" s="226"/>
      <c r="PGF23" s="226"/>
      <c r="PGG23" s="224"/>
      <c r="PGH23" s="225"/>
      <c r="PGI23" s="226"/>
      <c r="PGJ23" s="227"/>
      <c r="PGK23" s="228"/>
      <c r="PGL23" s="228"/>
      <c r="PGM23" s="228"/>
      <c r="PGN23" s="228"/>
      <c r="PGO23" s="228"/>
      <c r="PGP23" s="228"/>
      <c r="PGQ23" s="226"/>
      <c r="PGR23" s="226"/>
      <c r="PGS23" s="224"/>
      <c r="PGT23" s="225"/>
      <c r="PGU23" s="226"/>
      <c r="PGV23" s="227"/>
      <c r="PGW23" s="228"/>
      <c r="PGX23" s="228"/>
      <c r="PGY23" s="228"/>
      <c r="PGZ23" s="228"/>
      <c r="PHA23" s="228"/>
      <c r="PHB23" s="228"/>
      <c r="PHC23" s="226"/>
      <c r="PHD23" s="226"/>
      <c r="PHE23" s="224"/>
      <c r="PHF23" s="225"/>
      <c r="PHG23" s="226"/>
      <c r="PHH23" s="227"/>
      <c r="PHI23" s="228"/>
      <c r="PHJ23" s="228"/>
      <c r="PHK23" s="228"/>
      <c r="PHL23" s="228"/>
      <c r="PHM23" s="228"/>
      <c r="PHN23" s="228"/>
      <c r="PHO23" s="226"/>
      <c r="PHP23" s="226"/>
      <c r="PHQ23" s="224"/>
      <c r="PHR23" s="225"/>
      <c r="PHS23" s="226"/>
      <c r="PHT23" s="227"/>
      <c r="PHU23" s="228"/>
      <c r="PHV23" s="228"/>
      <c r="PHW23" s="228"/>
      <c r="PHX23" s="228"/>
      <c r="PHY23" s="228"/>
      <c r="PHZ23" s="228"/>
      <c r="PIA23" s="226"/>
      <c r="PIB23" s="226"/>
      <c r="PIC23" s="224"/>
      <c r="PID23" s="225"/>
      <c r="PIE23" s="226"/>
      <c r="PIF23" s="227"/>
      <c r="PIG23" s="228"/>
      <c r="PIH23" s="228"/>
      <c r="PII23" s="228"/>
      <c r="PIJ23" s="228"/>
      <c r="PIK23" s="228"/>
      <c r="PIL23" s="228"/>
      <c r="PIM23" s="226"/>
      <c r="PIN23" s="226"/>
      <c r="PIO23" s="224"/>
      <c r="PIP23" s="225"/>
      <c r="PIQ23" s="226"/>
      <c r="PIR23" s="227"/>
      <c r="PIS23" s="228"/>
      <c r="PIT23" s="228"/>
      <c r="PIU23" s="228"/>
      <c r="PIV23" s="228"/>
      <c r="PIW23" s="228"/>
      <c r="PIX23" s="228"/>
      <c r="PIY23" s="226"/>
      <c r="PIZ23" s="226"/>
      <c r="PJA23" s="224"/>
      <c r="PJB23" s="225"/>
      <c r="PJC23" s="226"/>
      <c r="PJD23" s="227"/>
      <c r="PJE23" s="228"/>
      <c r="PJF23" s="228"/>
      <c r="PJG23" s="228"/>
      <c r="PJH23" s="228"/>
      <c r="PJI23" s="228"/>
      <c r="PJJ23" s="228"/>
      <c r="PJK23" s="226"/>
      <c r="PJL23" s="226"/>
      <c r="PJM23" s="224"/>
      <c r="PJN23" s="225"/>
      <c r="PJO23" s="226"/>
      <c r="PJP23" s="227"/>
      <c r="PJQ23" s="228"/>
      <c r="PJR23" s="228"/>
      <c r="PJS23" s="228"/>
      <c r="PJT23" s="228"/>
      <c r="PJU23" s="228"/>
      <c r="PJV23" s="228"/>
      <c r="PJW23" s="226"/>
      <c r="PJX23" s="226"/>
      <c r="PJY23" s="224"/>
      <c r="PJZ23" s="225"/>
      <c r="PKA23" s="226"/>
      <c r="PKB23" s="227"/>
      <c r="PKC23" s="228"/>
      <c r="PKD23" s="228"/>
      <c r="PKE23" s="228"/>
      <c r="PKF23" s="228"/>
      <c r="PKG23" s="228"/>
      <c r="PKH23" s="228"/>
      <c r="PKI23" s="226"/>
      <c r="PKJ23" s="226"/>
      <c r="PKK23" s="224"/>
      <c r="PKL23" s="225"/>
      <c r="PKM23" s="226"/>
      <c r="PKN23" s="227"/>
      <c r="PKO23" s="228"/>
      <c r="PKP23" s="228"/>
      <c r="PKQ23" s="228"/>
      <c r="PKR23" s="228"/>
      <c r="PKS23" s="228"/>
      <c r="PKT23" s="228"/>
      <c r="PKU23" s="226"/>
      <c r="PKV23" s="226"/>
      <c r="PKW23" s="224"/>
      <c r="PKX23" s="225"/>
      <c r="PKY23" s="226"/>
      <c r="PKZ23" s="227"/>
      <c r="PLA23" s="228"/>
      <c r="PLB23" s="228"/>
      <c r="PLC23" s="228"/>
      <c r="PLD23" s="228"/>
      <c r="PLE23" s="228"/>
      <c r="PLF23" s="228"/>
      <c r="PLG23" s="226"/>
      <c r="PLH23" s="226"/>
      <c r="PLI23" s="224"/>
      <c r="PLJ23" s="225"/>
      <c r="PLK23" s="226"/>
      <c r="PLL23" s="227"/>
      <c r="PLM23" s="228"/>
      <c r="PLN23" s="228"/>
      <c r="PLO23" s="228"/>
      <c r="PLP23" s="228"/>
      <c r="PLQ23" s="228"/>
      <c r="PLR23" s="228"/>
      <c r="PLS23" s="226"/>
      <c r="PLT23" s="226"/>
      <c r="PLU23" s="224"/>
      <c r="PLV23" s="225"/>
      <c r="PLW23" s="226"/>
      <c r="PLX23" s="227"/>
      <c r="PLY23" s="228"/>
      <c r="PLZ23" s="228"/>
      <c r="PMA23" s="228"/>
      <c r="PMB23" s="228"/>
      <c r="PMC23" s="228"/>
      <c r="PMD23" s="228"/>
      <c r="PME23" s="226"/>
      <c r="PMF23" s="226"/>
      <c r="PMG23" s="224"/>
      <c r="PMH23" s="225"/>
      <c r="PMI23" s="226"/>
      <c r="PMJ23" s="227"/>
      <c r="PMK23" s="228"/>
      <c r="PML23" s="228"/>
      <c r="PMM23" s="228"/>
      <c r="PMN23" s="228"/>
      <c r="PMO23" s="228"/>
      <c r="PMP23" s="228"/>
      <c r="PMQ23" s="226"/>
      <c r="PMR23" s="226"/>
      <c r="PMS23" s="224"/>
      <c r="PMT23" s="225"/>
      <c r="PMU23" s="226"/>
      <c r="PMV23" s="227"/>
      <c r="PMW23" s="228"/>
      <c r="PMX23" s="228"/>
      <c r="PMY23" s="228"/>
      <c r="PMZ23" s="228"/>
      <c r="PNA23" s="228"/>
      <c r="PNB23" s="228"/>
      <c r="PNC23" s="226"/>
      <c r="PND23" s="226"/>
      <c r="PNE23" s="224"/>
      <c r="PNF23" s="225"/>
      <c r="PNG23" s="226"/>
      <c r="PNH23" s="227"/>
      <c r="PNI23" s="228"/>
      <c r="PNJ23" s="228"/>
      <c r="PNK23" s="228"/>
      <c r="PNL23" s="228"/>
      <c r="PNM23" s="228"/>
      <c r="PNN23" s="228"/>
      <c r="PNO23" s="226"/>
      <c r="PNP23" s="226"/>
      <c r="PNQ23" s="224"/>
      <c r="PNR23" s="225"/>
      <c r="PNS23" s="226"/>
      <c r="PNT23" s="227"/>
      <c r="PNU23" s="228"/>
      <c r="PNV23" s="228"/>
      <c r="PNW23" s="228"/>
      <c r="PNX23" s="228"/>
      <c r="PNY23" s="228"/>
      <c r="PNZ23" s="228"/>
      <c r="POA23" s="226"/>
      <c r="POB23" s="226"/>
      <c r="POC23" s="224"/>
      <c r="POD23" s="225"/>
      <c r="POE23" s="226"/>
      <c r="POF23" s="227"/>
      <c r="POG23" s="228"/>
      <c r="POH23" s="228"/>
      <c r="POI23" s="228"/>
      <c r="POJ23" s="228"/>
      <c r="POK23" s="228"/>
      <c r="POL23" s="228"/>
      <c r="POM23" s="226"/>
      <c r="PON23" s="226"/>
      <c r="POO23" s="224"/>
      <c r="POP23" s="225"/>
      <c r="POQ23" s="226"/>
      <c r="POR23" s="227"/>
      <c r="POS23" s="228"/>
      <c r="POT23" s="228"/>
      <c r="POU23" s="228"/>
      <c r="POV23" s="228"/>
      <c r="POW23" s="228"/>
      <c r="POX23" s="228"/>
      <c r="POY23" s="226"/>
      <c r="POZ23" s="226"/>
      <c r="PPA23" s="224"/>
      <c r="PPB23" s="225"/>
      <c r="PPC23" s="226"/>
      <c r="PPD23" s="227"/>
      <c r="PPE23" s="228"/>
      <c r="PPF23" s="228"/>
      <c r="PPG23" s="228"/>
      <c r="PPH23" s="228"/>
      <c r="PPI23" s="228"/>
      <c r="PPJ23" s="228"/>
      <c r="PPK23" s="226"/>
      <c r="PPL23" s="226"/>
      <c r="PPM23" s="224"/>
      <c r="PPN23" s="225"/>
      <c r="PPO23" s="226"/>
      <c r="PPP23" s="227"/>
      <c r="PPQ23" s="228"/>
      <c r="PPR23" s="228"/>
      <c r="PPS23" s="228"/>
      <c r="PPT23" s="228"/>
      <c r="PPU23" s="228"/>
      <c r="PPV23" s="228"/>
      <c r="PPW23" s="226"/>
      <c r="PPX23" s="226"/>
      <c r="PPY23" s="224"/>
      <c r="PPZ23" s="225"/>
      <c r="PQA23" s="226"/>
      <c r="PQB23" s="227"/>
      <c r="PQC23" s="228"/>
      <c r="PQD23" s="228"/>
      <c r="PQE23" s="228"/>
      <c r="PQF23" s="228"/>
      <c r="PQG23" s="228"/>
      <c r="PQH23" s="228"/>
      <c r="PQI23" s="226"/>
      <c r="PQJ23" s="226"/>
      <c r="PQK23" s="224"/>
      <c r="PQL23" s="225"/>
      <c r="PQM23" s="226"/>
      <c r="PQN23" s="227"/>
      <c r="PQO23" s="228"/>
      <c r="PQP23" s="228"/>
      <c r="PQQ23" s="228"/>
      <c r="PQR23" s="228"/>
      <c r="PQS23" s="228"/>
      <c r="PQT23" s="228"/>
      <c r="PQU23" s="226"/>
      <c r="PQV23" s="226"/>
      <c r="PQW23" s="224"/>
      <c r="PQX23" s="225"/>
      <c r="PQY23" s="226"/>
      <c r="PQZ23" s="227"/>
      <c r="PRA23" s="228"/>
      <c r="PRB23" s="228"/>
      <c r="PRC23" s="228"/>
      <c r="PRD23" s="228"/>
      <c r="PRE23" s="228"/>
      <c r="PRF23" s="228"/>
      <c r="PRG23" s="226"/>
      <c r="PRH23" s="226"/>
      <c r="PRI23" s="224"/>
      <c r="PRJ23" s="225"/>
      <c r="PRK23" s="226"/>
      <c r="PRL23" s="227"/>
      <c r="PRM23" s="228"/>
      <c r="PRN23" s="228"/>
      <c r="PRO23" s="228"/>
      <c r="PRP23" s="228"/>
      <c r="PRQ23" s="228"/>
      <c r="PRR23" s="228"/>
      <c r="PRS23" s="226"/>
      <c r="PRT23" s="226"/>
      <c r="PRU23" s="224"/>
      <c r="PRV23" s="225"/>
      <c r="PRW23" s="226"/>
      <c r="PRX23" s="227"/>
      <c r="PRY23" s="228"/>
      <c r="PRZ23" s="228"/>
      <c r="PSA23" s="228"/>
      <c r="PSB23" s="228"/>
      <c r="PSC23" s="228"/>
      <c r="PSD23" s="228"/>
      <c r="PSE23" s="226"/>
      <c r="PSF23" s="226"/>
      <c r="PSG23" s="224"/>
      <c r="PSH23" s="225"/>
      <c r="PSI23" s="226"/>
      <c r="PSJ23" s="227"/>
      <c r="PSK23" s="228"/>
      <c r="PSL23" s="228"/>
      <c r="PSM23" s="228"/>
      <c r="PSN23" s="228"/>
      <c r="PSO23" s="228"/>
      <c r="PSP23" s="228"/>
      <c r="PSQ23" s="226"/>
      <c r="PSR23" s="226"/>
      <c r="PSS23" s="224"/>
      <c r="PST23" s="225"/>
      <c r="PSU23" s="226"/>
      <c r="PSV23" s="227"/>
      <c r="PSW23" s="228"/>
      <c r="PSX23" s="228"/>
      <c r="PSY23" s="228"/>
      <c r="PSZ23" s="228"/>
      <c r="PTA23" s="228"/>
      <c r="PTB23" s="228"/>
      <c r="PTC23" s="226"/>
      <c r="PTD23" s="226"/>
      <c r="PTE23" s="224"/>
      <c r="PTF23" s="225"/>
      <c r="PTG23" s="226"/>
      <c r="PTH23" s="227"/>
      <c r="PTI23" s="228"/>
      <c r="PTJ23" s="228"/>
      <c r="PTK23" s="228"/>
      <c r="PTL23" s="228"/>
      <c r="PTM23" s="228"/>
      <c r="PTN23" s="228"/>
      <c r="PTO23" s="226"/>
      <c r="PTP23" s="226"/>
      <c r="PTQ23" s="224"/>
      <c r="PTR23" s="225"/>
      <c r="PTS23" s="226"/>
      <c r="PTT23" s="227"/>
      <c r="PTU23" s="228"/>
      <c r="PTV23" s="228"/>
      <c r="PTW23" s="228"/>
      <c r="PTX23" s="228"/>
      <c r="PTY23" s="228"/>
      <c r="PTZ23" s="228"/>
      <c r="PUA23" s="226"/>
      <c r="PUB23" s="226"/>
      <c r="PUC23" s="224"/>
      <c r="PUD23" s="225"/>
      <c r="PUE23" s="226"/>
      <c r="PUF23" s="227"/>
      <c r="PUG23" s="228"/>
      <c r="PUH23" s="228"/>
      <c r="PUI23" s="228"/>
      <c r="PUJ23" s="228"/>
      <c r="PUK23" s="228"/>
      <c r="PUL23" s="228"/>
      <c r="PUM23" s="226"/>
      <c r="PUN23" s="226"/>
      <c r="PUO23" s="224"/>
      <c r="PUP23" s="225"/>
      <c r="PUQ23" s="226"/>
      <c r="PUR23" s="227"/>
      <c r="PUS23" s="228"/>
      <c r="PUT23" s="228"/>
      <c r="PUU23" s="228"/>
      <c r="PUV23" s="228"/>
      <c r="PUW23" s="228"/>
      <c r="PUX23" s="228"/>
      <c r="PUY23" s="226"/>
      <c r="PUZ23" s="226"/>
      <c r="PVA23" s="224"/>
      <c r="PVB23" s="225"/>
      <c r="PVC23" s="226"/>
      <c r="PVD23" s="227"/>
      <c r="PVE23" s="228"/>
      <c r="PVF23" s="228"/>
      <c r="PVG23" s="228"/>
      <c r="PVH23" s="228"/>
      <c r="PVI23" s="228"/>
      <c r="PVJ23" s="228"/>
      <c r="PVK23" s="226"/>
      <c r="PVL23" s="226"/>
      <c r="PVM23" s="224"/>
      <c r="PVN23" s="225"/>
      <c r="PVO23" s="226"/>
      <c r="PVP23" s="227"/>
      <c r="PVQ23" s="228"/>
      <c r="PVR23" s="228"/>
      <c r="PVS23" s="228"/>
      <c r="PVT23" s="228"/>
      <c r="PVU23" s="228"/>
      <c r="PVV23" s="228"/>
      <c r="PVW23" s="226"/>
      <c r="PVX23" s="226"/>
      <c r="PVY23" s="224"/>
      <c r="PVZ23" s="225"/>
      <c r="PWA23" s="226"/>
      <c r="PWB23" s="227"/>
      <c r="PWC23" s="228"/>
      <c r="PWD23" s="228"/>
      <c r="PWE23" s="228"/>
      <c r="PWF23" s="228"/>
      <c r="PWG23" s="228"/>
      <c r="PWH23" s="228"/>
      <c r="PWI23" s="226"/>
      <c r="PWJ23" s="226"/>
      <c r="PWK23" s="224"/>
      <c r="PWL23" s="225"/>
      <c r="PWM23" s="226"/>
      <c r="PWN23" s="227"/>
      <c r="PWO23" s="228"/>
      <c r="PWP23" s="228"/>
      <c r="PWQ23" s="228"/>
      <c r="PWR23" s="228"/>
      <c r="PWS23" s="228"/>
      <c r="PWT23" s="228"/>
      <c r="PWU23" s="226"/>
      <c r="PWV23" s="226"/>
      <c r="PWW23" s="224"/>
      <c r="PWX23" s="225"/>
      <c r="PWY23" s="226"/>
      <c r="PWZ23" s="227"/>
      <c r="PXA23" s="228"/>
      <c r="PXB23" s="228"/>
      <c r="PXC23" s="228"/>
      <c r="PXD23" s="228"/>
      <c r="PXE23" s="228"/>
      <c r="PXF23" s="228"/>
      <c r="PXG23" s="226"/>
      <c r="PXH23" s="226"/>
      <c r="PXI23" s="224"/>
      <c r="PXJ23" s="225"/>
      <c r="PXK23" s="226"/>
      <c r="PXL23" s="227"/>
      <c r="PXM23" s="228"/>
      <c r="PXN23" s="228"/>
      <c r="PXO23" s="228"/>
      <c r="PXP23" s="228"/>
      <c r="PXQ23" s="228"/>
      <c r="PXR23" s="228"/>
      <c r="PXS23" s="226"/>
      <c r="PXT23" s="226"/>
      <c r="PXU23" s="224"/>
      <c r="PXV23" s="225"/>
      <c r="PXW23" s="226"/>
      <c r="PXX23" s="227"/>
      <c r="PXY23" s="228"/>
      <c r="PXZ23" s="228"/>
      <c r="PYA23" s="228"/>
      <c r="PYB23" s="228"/>
      <c r="PYC23" s="228"/>
      <c r="PYD23" s="228"/>
      <c r="PYE23" s="226"/>
      <c r="PYF23" s="226"/>
      <c r="PYG23" s="224"/>
      <c r="PYH23" s="225"/>
      <c r="PYI23" s="226"/>
      <c r="PYJ23" s="227"/>
      <c r="PYK23" s="228"/>
      <c r="PYL23" s="228"/>
      <c r="PYM23" s="228"/>
      <c r="PYN23" s="228"/>
      <c r="PYO23" s="228"/>
      <c r="PYP23" s="228"/>
      <c r="PYQ23" s="226"/>
      <c r="PYR23" s="226"/>
      <c r="PYS23" s="224"/>
      <c r="PYT23" s="225"/>
      <c r="PYU23" s="226"/>
      <c r="PYV23" s="227"/>
      <c r="PYW23" s="228"/>
      <c r="PYX23" s="228"/>
      <c r="PYY23" s="228"/>
      <c r="PYZ23" s="228"/>
      <c r="PZA23" s="228"/>
      <c r="PZB23" s="228"/>
      <c r="PZC23" s="226"/>
      <c r="PZD23" s="226"/>
      <c r="PZE23" s="224"/>
      <c r="PZF23" s="225"/>
      <c r="PZG23" s="226"/>
      <c r="PZH23" s="227"/>
      <c r="PZI23" s="228"/>
      <c r="PZJ23" s="228"/>
      <c r="PZK23" s="228"/>
      <c r="PZL23" s="228"/>
      <c r="PZM23" s="228"/>
      <c r="PZN23" s="228"/>
      <c r="PZO23" s="226"/>
      <c r="PZP23" s="226"/>
      <c r="PZQ23" s="224"/>
      <c r="PZR23" s="225"/>
      <c r="PZS23" s="226"/>
      <c r="PZT23" s="227"/>
      <c r="PZU23" s="228"/>
      <c r="PZV23" s="228"/>
      <c r="PZW23" s="228"/>
      <c r="PZX23" s="228"/>
      <c r="PZY23" s="228"/>
      <c r="PZZ23" s="228"/>
      <c r="QAA23" s="226"/>
      <c r="QAB23" s="226"/>
      <c r="QAC23" s="224"/>
      <c r="QAD23" s="225"/>
      <c r="QAE23" s="226"/>
      <c r="QAF23" s="227"/>
      <c r="QAG23" s="228"/>
      <c r="QAH23" s="228"/>
      <c r="QAI23" s="228"/>
      <c r="QAJ23" s="228"/>
      <c r="QAK23" s="228"/>
      <c r="QAL23" s="228"/>
      <c r="QAM23" s="226"/>
      <c r="QAN23" s="226"/>
      <c r="QAO23" s="224"/>
      <c r="QAP23" s="225"/>
      <c r="QAQ23" s="226"/>
      <c r="QAR23" s="227"/>
      <c r="QAS23" s="228"/>
      <c r="QAT23" s="228"/>
      <c r="QAU23" s="228"/>
      <c r="QAV23" s="228"/>
      <c r="QAW23" s="228"/>
      <c r="QAX23" s="228"/>
      <c r="QAY23" s="226"/>
      <c r="QAZ23" s="226"/>
      <c r="QBA23" s="224"/>
      <c r="QBB23" s="225"/>
      <c r="QBC23" s="226"/>
      <c r="QBD23" s="227"/>
      <c r="QBE23" s="228"/>
      <c r="QBF23" s="228"/>
      <c r="QBG23" s="228"/>
      <c r="QBH23" s="228"/>
      <c r="QBI23" s="228"/>
      <c r="QBJ23" s="228"/>
      <c r="QBK23" s="226"/>
      <c r="QBL23" s="226"/>
      <c r="QBM23" s="224"/>
      <c r="QBN23" s="225"/>
      <c r="QBO23" s="226"/>
      <c r="QBP23" s="227"/>
      <c r="QBQ23" s="228"/>
      <c r="QBR23" s="228"/>
      <c r="QBS23" s="228"/>
      <c r="QBT23" s="228"/>
      <c r="QBU23" s="228"/>
      <c r="QBV23" s="228"/>
      <c r="QBW23" s="226"/>
      <c r="QBX23" s="226"/>
      <c r="QBY23" s="224"/>
      <c r="QBZ23" s="225"/>
      <c r="QCA23" s="226"/>
      <c r="QCB23" s="227"/>
      <c r="QCC23" s="228"/>
      <c r="QCD23" s="228"/>
      <c r="QCE23" s="228"/>
      <c r="QCF23" s="228"/>
      <c r="QCG23" s="228"/>
      <c r="QCH23" s="228"/>
      <c r="QCI23" s="226"/>
      <c r="QCJ23" s="226"/>
      <c r="QCK23" s="224"/>
      <c r="QCL23" s="225"/>
      <c r="QCM23" s="226"/>
      <c r="QCN23" s="227"/>
      <c r="QCO23" s="228"/>
      <c r="QCP23" s="228"/>
      <c r="QCQ23" s="228"/>
      <c r="QCR23" s="228"/>
      <c r="QCS23" s="228"/>
      <c r="QCT23" s="228"/>
      <c r="QCU23" s="226"/>
      <c r="QCV23" s="226"/>
      <c r="QCW23" s="224"/>
      <c r="QCX23" s="225"/>
      <c r="QCY23" s="226"/>
      <c r="QCZ23" s="227"/>
      <c r="QDA23" s="228"/>
      <c r="QDB23" s="228"/>
      <c r="QDC23" s="228"/>
      <c r="QDD23" s="228"/>
      <c r="QDE23" s="228"/>
      <c r="QDF23" s="228"/>
      <c r="QDG23" s="226"/>
      <c r="QDH23" s="226"/>
      <c r="QDI23" s="224"/>
      <c r="QDJ23" s="225"/>
      <c r="QDK23" s="226"/>
      <c r="QDL23" s="227"/>
      <c r="QDM23" s="228"/>
      <c r="QDN23" s="228"/>
      <c r="QDO23" s="228"/>
      <c r="QDP23" s="228"/>
      <c r="QDQ23" s="228"/>
      <c r="QDR23" s="228"/>
      <c r="QDS23" s="226"/>
      <c r="QDT23" s="226"/>
      <c r="QDU23" s="224"/>
      <c r="QDV23" s="225"/>
      <c r="QDW23" s="226"/>
      <c r="QDX23" s="227"/>
      <c r="QDY23" s="228"/>
      <c r="QDZ23" s="228"/>
      <c r="QEA23" s="228"/>
      <c r="QEB23" s="228"/>
      <c r="QEC23" s="228"/>
      <c r="QED23" s="228"/>
      <c r="QEE23" s="226"/>
      <c r="QEF23" s="226"/>
      <c r="QEG23" s="224"/>
      <c r="QEH23" s="225"/>
      <c r="QEI23" s="226"/>
      <c r="QEJ23" s="227"/>
      <c r="QEK23" s="228"/>
      <c r="QEL23" s="228"/>
      <c r="QEM23" s="228"/>
      <c r="QEN23" s="228"/>
      <c r="QEO23" s="228"/>
      <c r="QEP23" s="228"/>
      <c r="QEQ23" s="226"/>
      <c r="QER23" s="226"/>
      <c r="QES23" s="224"/>
      <c r="QET23" s="225"/>
      <c r="QEU23" s="226"/>
      <c r="QEV23" s="227"/>
      <c r="QEW23" s="228"/>
      <c r="QEX23" s="228"/>
      <c r="QEY23" s="228"/>
      <c r="QEZ23" s="228"/>
      <c r="QFA23" s="228"/>
      <c r="QFB23" s="228"/>
      <c r="QFC23" s="226"/>
      <c r="QFD23" s="226"/>
      <c r="QFE23" s="224"/>
      <c r="QFF23" s="225"/>
      <c r="QFG23" s="226"/>
      <c r="QFH23" s="227"/>
      <c r="QFI23" s="228"/>
      <c r="QFJ23" s="228"/>
      <c r="QFK23" s="228"/>
      <c r="QFL23" s="228"/>
      <c r="QFM23" s="228"/>
      <c r="QFN23" s="228"/>
      <c r="QFO23" s="226"/>
      <c r="QFP23" s="226"/>
      <c r="QFQ23" s="224"/>
      <c r="QFR23" s="225"/>
      <c r="QFS23" s="226"/>
      <c r="QFT23" s="227"/>
      <c r="QFU23" s="228"/>
      <c r="QFV23" s="228"/>
      <c r="QFW23" s="228"/>
      <c r="QFX23" s="228"/>
      <c r="QFY23" s="228"/>
      <c r="QFZ23" s="228"/>
      <c r="QGA23" s="226"/>
      <c r="QGB23" s="226"/>
      <c r="QGC23" s="224"/>
      <c r="QGD23" s="225"/>
      <c r="QGE23" s="226"/>
      <c r="QGF23" s="227"/>
      <c r="QGG23" s="228"/>
      <c r="QGH23" s="228"/>
      <c r="QGI23" s="228"/>
      <c r="QGJ23" s="228"/>
      <c r="QGK23" s="228"/>
      <c r="QGL23" s="228"/>
      <c r="QGM23" s="226"/>
      <c r="QGN23" s="226"/>
      <c r="QGO23" s="224"/>
      <c r="QGP23" s="225"/>
      <c r="QGQ23" s="226"/>
      <c r="QGR23" s="227"/>
      <c r="QGS23" s="228"/>
      <c r="QGT23" s="228"/>
      <c r="QGU23" s="228"/>
      <c r="QGV23" s="228"/>
      <c r="QGW23" s="228"/>
      <c r="QGX23" s="228"/>
      <c r="QGY23" s="226"/>
      <c r="QGZ23" s="226"/>
      <c r="QHA23" s="224"/>
      <c r="QHB23" s="225"/>
      <c r="QHC23" s="226"/>
      <c r="QHD23" s="227"/>
      <c r="QHE23" s="228"/>
      <c r="QHF23" s="228"/>
      <c r="QHG23" s="228"/>
      <c r="QHH23" s="228"/>
      <c r="QHI23" s="228"/>
      <c r="QHJ23" s="228"/>
      <c r="QHK23" s="226"/>
      <c r="QHL23" s="226"/>
      <c r="QHM23" s="224"/>
      <c r="QHN23" s="225"/>
      <c r="QHO23" s="226"/>
      <c r="QHP23" s="227"/>
      <c r="QHQ23" s="228"/>
      <c r="QHR23" s="228"/>
      <c r="QHS23" s="228"/>
      <c r="QHT23" s="228"/>
      <c r="QHU23" s="228"/>
      <c r="QHV23" s="228"/>
      <c r="QHW23" s="226"/>
      <c r="QHX23" s="226"/>
      <c r="QHY23" s="224"/>
      <c r="QHZ23" s="225"/>
      <c r="QIA23" s="226"/>
      <c r="QIB23" s="227"/>
      <c r="QIC23" s="228"/>
      <c r="QID23" s="228"/>
      <c r="QIE23" s="228"/>
      <c r="QIF23" s="228"/>
      <c r="QIG23" s="228"/>
      <c r="QIH23" s="228"/>
      <c r="QII23" s="226"/>
      <c r="QIJ23" s="226"/>
      <c r="QIK23" s="224"/>
      <c r="QIL23" s="225"/>
      <c r="QIM23" s="226"/>
      <c r="QIN23" s="227"/>
      <c r="QIO23" s="228"/>
      <c r="QIP23" s="228"/>
      <c r="QIQ23" s="228"/>
      <c r="QIR23" s="228"/>
      <c r="QIS23" s="228"/>
      <c r="QIT23" s="228"/>
      <c r="QIU23" s="226"/>
      <c r="QIV23" s="226"/>
      <c r="QIW23" s="224"/>
      <c r="QIX23" s="225"/>
      <c r="QIY23" s="226"/>
      <c r="QIZ23" s="227"/>
      <c r="QJA23" s="228"/>
      <c r="QJB23" s="228"/>
      <c r="QJC23" s="228"/>
      <c r="QJD23" s="228"/>
      <c r="QJE23" s="228"/>
      <c r="QJF23" s="228"/>
      <c r="QJG23" s="226"/>
      <c r="QJH23" s="226"/>
      <c r="QJI23" s="224"/>
      <c r="QJJ23" s="225"/>
      <c r="QJK23" s="226"/>
      <c r="QJL23" s="227"/>
      <c r="QJM23" s="228"/>
      <c r="QJN23" s="228"/>
      <c r="QJO23" s="228"/>
      <c r="QJP23" s="228"/>
      <c r="QJQ23" s="228"/>
      <c r="QJR23" s="228"/>
      <c r="QJS23" s="226"/>
      <c r="QJT23" s="226"/>
      <c r="QJU23" s="224"/>
      <c r="QJV23" s="225"/>
      <c r="QJW23" s="226"/>
      <c r="QJX23" s="227"/>
      <c r="QJY23" s="228"/>
      <c r="QJZ23" s="228"/>
      <c r="QKA23" s="228"/>
      <c r="QKB23" s="228"/>
      <c r="QKC23" s="228"/>
      <c r="QKD23" s="228"/>
      <c r="QKE23" s="226"/>
      <c r="QKF23" s="226"/>
      <c r="QKG23" s="224"/>
      <c r="QKH23" s="225"/>
      <c r="QKI23" s="226"/>
      <c r="QKJ23" s="227"/>
      <c r="QKK23" s="228"/>
      <c r="QKL23" s="228"/>
      <c r="QKM23" s="228"/>
      <c r="QKN23" s="228"/>
      <c r="QKO23" s="228"/>
      <c r="QKP23" s="228"/>
      <c r="QKQ23" s="226"/>
      <c r="QKR23" s="226"/>
      <c r="QKS23" s="224"/>
      <c r="QKT23" s="225"/>
      <c r="QKU23" s="226"/>
      <c r="QKV23" s="227"/>
      <c r="QKW23" s="228"/>
      <c r="QKX23" s="228"/>
      <c r="QKY23" s="228"/>
      <c r="QKZ23" s="228"/>
      <c r="QLA23" s="228"/>
      <c r="QLB23" s="228"/>
      <c r="QLC23" s="226"/>
      <c r="QLD23" s="226"/>
      <c r="QLE23" s="224"/>
      <c r="QLF23" s="225"/>
      <c r="QLG23" s="226"/>
      <c r="QLH23" s="227"/>
      <c r="QLI23" s="228"/>
      <c r="QLJ23" s="228"/>
      <c r="QLK23" s="228"/>
      <c r="QLL23" s="228"/>
      <c r="QLM23" s="228"/>
      <c r="QLN23" s="228"/>
      <c r="QLO23" s="226"/>
      <c r="QLP23" s="226"/>
      <c r="QLQ23" s="224"/>
      <c r="QLR23" s="225"/>
      <c r="QLS23" s="226"/>
      <c r="QLT23" s="227"/>
      <c r="QLU23" s="228"/>
      <c r="QLV23" s="228"/>
      <c r="QLW23" s="228"/>
      <c r="QLX23" s="228"/>
      <c r="QLY23" s="228"/>
      <c r="QLZ23" s="228"/>
      <c r="QMA23" s="226"/>
      <c r="QMB23" s="226"/>
      <c r="QMC23" s="224"/>
      <c r="QMD23" s="225"/>
      <c r="QME23" s="226"/>
      <c r="QMF23" s="227"/>
      <c r="QMG23" s="228"/>
      <c r="QMH23" s="228"/>
      <c r="QMI23" s="228"/>
      <c r="QMJ23" s="228"/>
      <c r="QMK23" s="228"/>
      <c r="QML23" s="228"/>
      <c r="QMM23" s="226"/>
      <c r="QMN23" s="226"/>
      <c r="QMO23" s="224"/>
      <c r="QMP23" s="225"/>
      <c r="QMQ23" s="226"/>
      <c r="QMR23" s="227"/>
      <c r="QMS23" s="228"/>
      <c r="QMT23" s="228"/>
      <c r="QMU23" s="228"/>
      <c r="QMV23" s="228"/>
      <c r="QMW23" s="228"/>
      <c r="QMX23" s="228"/>
      <c r="QMY23" s="226"/>
      <c r="QMZ23" s="226"/>
      <c r="QNA23" s="224"/>
      <c r="QNB23" s="225"/>
      <c r="QNC23" s="226"/>
      <c r="QND23" s="227"/>
      <c r="QNE23" s="228"/>
      <c r="QNF23" s="228"/>
      <c r="QNG23" s="228"/>
      <c r="QNH23" s="228"/>
      <c r="QNI23" s="228"/>
      <c r="QNJ23" s="228"/>
      <c r="QNK23" s="226"/>
      <c r="QNL23" s="226"/>
      <c r="QNM23" s="224"/>
      <c r="QNN23" s="225"/>
      <c r="QNO23" s="226"/>
      <c r="QNP23" s="227"/>
      <c r="QNQ23" s="228"/>
      <c r="QNR23" s="228"/>
      <c r="QNS23" s="228"/>
      <c r="QNT23" s="228"/>
      <c r="QNU23" s="228"/>
      <c r="QNV23" s="228"/>
      <c r="QNW23" s="226"/>
      <c r="QNX23" s="226"/>
      <c r="QNY23" s="224"/>
      <c r="QNZ23" s="225"/>
      <c r="QOA23" s="226"/>
      <c r="QOB23" s="227"/>
      <c r="QOC23" s="228"/>
      <c r="QOD23" s="228"/>
      <c r="QOE23" s="228"/>
      <c r="QOF23" s="228"/>
      <c r="QOG23" s="228"/>
      <c r="QOH23" s="228"/>
      <c r="QOI23" s="226"/>
      <c r="QOJ23" s="226"/>
      <c r="QOK23" s="224"/>
      <c r="QOL23" s="225"/>
      <c r="QOM23" s="226"/>
      <c r="QON23" s="227"/>
      <c r="QOO23" s="228"/>
      <c r="QOP23" s="228"/>
      <c r="QOQ23" s="228"/>
      <c r="QOR23" s="228"/>
      <c r="QOS23" s="228"/>
      <c r="QOT23" s="228"/>
      <c r="QOU23" s="226"/>
      <c r="QOV23" s="226"/>
      <c r="QOW23" s="224"/>
      <c r="QOX23" s="225"/>
      <c r="QOY23" s="226"/>
      <c r="QOZ23" s="227"/>
      <c r="QPA23" s="228"/>
      <c r="QPB23" s="228"/>
      <c r="QPC23" s="228"/>
      <c r="QPD23" s="228"/>
      <c r="QPE23" s="228"/>
      <c r="QPF23" s="228"/>
      <c r="QPG23" s="226"/>
      <c r="QPH23" s="226"/>
      <c r="QPI23" s="224"/>
      <c r="QPJ23" s="225"/>
      <c r="QPK23" s="226"/>
      <c r="QPL23" s="227"/>
      <c r="QPM23" s="228"/>
      <c r="QPN23" s="228"/>
      <c r="QPO23" s="228"/>
      <c r="QPP23" s="228"/>
      <c r="QPQ23" s="228"/>
      <c r="QPR23" s="228"/>
      <c r="QPS23" s="226"/>
      <c r="QPT23" s="226"/>
      <c r="QPU23" s="224"/>
      <c r="QPV23" s="225"/>
      <c r="QPW23" s="226"/>
      <c r="QPX23" s="227"/>
      <c r="QPY23" s="228"/>
      <c r="QPZ23" s="228"/>
      <c r="QQA23" s="228"/>
      <c r="QQB23" s="228"/>
      <c r="QQC23" s="228"/>
      <c r="QQD23" s="228"/>
      <c r="QQE23" s="226"/>
      <c r="QQF23" s="226"/>
      <c r="QQG23" s="224"/>
      <c r="QQH23" s="225"/>
      <c r="QQI23" s="226"/>
      <c r="QQJ23" s="227"/>
      <c r="QQK23" s="228"/>
      <c r="QQL23" s="228"/>
      <c r="QQM23" s="228"/>
      <c r="QQN23" s="228"/>
      <c r="QQO23" s="228"/>
      <c r="QQP23" s="228"/>
      <c r="QQQ23" s="226"/>
      <c r="QQR23" s="226"/>
      <c r="QQS23" s="224"/>
      <c r="QQT23" s="225"/>
      <c r="QQU23" s="226"/>
      <c r="QQV23" s="227"/>
      <c r="QQW23" s="228"/>
      <c r="QQX23" s="228"/>
      <c r="QQY23" s="228"/>
      <c r="QQZ23" s="228"/>
      <c r="QRA23" s="228"/>
      <c r="QRB23" s="228"/>
      <c r="QRC23" s="226"/>
      <c r="QRD23" s="226"/>
      <c r="QRE23" s="224"/>
      <c r="QRF23" s="225"/>
      <c r="QRG23" s="226"/>
      <c r="QRH23" s="227"/>
      <c r="QRI23" s="228"/>
      <c r="QRJ23" s="228"/>
      <c r="QRK23" s="228"/>
      <c r="QRL23" s="228"/>
      <c r="QRM23" s="228"/>
      <c r="QRN23" s="228"/>
      <c r="QRO23" s="226"/>
      <c r="QRP23" s="226"/>
      <c r="QRQ23" s="224"/>
      <c r="QRR23" s="225"/>
      <c r="QRS23" s="226"/>
      <c r="QRT23" s="227"/>
      <c r="QRU23" s="228"/>
      <c r="QRV23" s="228"/>
      <c r="QRW23" s="228"/>
      <c r="QRX23" s="228"/>
      <c r="QRY23" s="228"/>
      <c r="QRZ23" s="228"/>
      <c r="QSA23" s="226"/>
      <c r="QSB23" s="226"/>
      <c r="QSC23" s="224"/>
      <c r="QSD23" s="225"/>
      <c r="QSE23" s="226"/>
      <c r="QSF23" s="227"/>
      <c r="QSG23" s="228"/>
      <c r="QSH23" s="228"/>
      <c r="QSI23" s="228"/>
      <c r="QSJ23" s="228"/>
      <c r="QSK23" s="228"/>
      <c r="QSL23" s="228"/>
      <c r="QSM23" s="226"/>
      <c r="QSN23" s="226"/>
      <c r="QSO23" s="224"/>
      <c r="QSP23" s="225"/>
      <c r="QSQ23" s="226"/>
      <c r="QSR23" s="227"/>
      <c r="QSS23" s="228"/>
      <c r="QST23" s="228"/>
      <c r="QSU23" s="228"/>
      <c r="QSV23" s="228"/>
      <c r="QSW23" s="228"/>
      <c r="QSX23" s="228"/>
      <c r="QSY23" s="226"/>
      <c r="QSZ23" s="226"/>
      <c r="QTA23" s="224"/>
      <c r="QTB23" s="225"/>
      <c r="QTC23" s="226"/>
      <c r="QTD23" s="227"/>
      <c r="QTE23" s="228"/>
      <c r="QTF23" s="228"/>
      <c r="QTG23" s="228"/>
      <c r="QTH23" s="228"/>
      <c r="QTI23" s="228"/>
      <c r="QTJ23" s="228"/>
      <c r="QTK23" s="226"/>
      <c r="QTL23" s="226"/>
      <c r="QTM23" s="224"/>
      <c r="QTN23" s="225"/>
      <c r="QTO23" s="226"/>
      <c r="QTP23" s="227"/>
      <c r="QTQ23" s="228"/>
      <c r="QTR23" s="228"/>
      <c r="QTS23" s="228"/>
      <c r="QTT23" s="228"/>
      <c r="QTU23" s="228"/>
      <c r="QTV23" s="228"/>
      <c r="QTW23" s="226"/>
      <c r="QTX23" s="226"/>
      <c r="QTY23" s="224"/>
      <c r="QTZ23" s="225"/>
      <c r="QUA23" s="226"/>
      <c r="QUB23" s="227"/>
      <c r="QUC23" s="228"/>
      <c r="QUD23" s="228"/>
      <c r="QUE23" s="228"/>
      <c r="QUF23" s="228"/>
      <c r="QUG23" s="228"/>
      <c r="QUH23" s="228"/>
      <c r="QUI23" s="226"/>
      <c r="QUJ23" s="226"/>
      <c r="QUK23" s="224"/>
      <c r="QUL23" s="225"/>
      <c r="QUM23" s="226"/>
      <c r="QUN23" s="227"/>
      <c r="QUO23" s="228"/>
      <c r="QUP23" s="228"/>
      <c r="QUQ23" s="228"/>
      <c r="QUR23" s="228"/>
      <c r="QUS23" s="228"/>
      <c r="QUT23" s="228"/>
      <c r="QUU23" s="226"/>
      <c r="QUV23" s="226"/>
      <c r="QUW23" s="224"/>
      <c r="QUX23" s="225"/>
      <c r="QUY23" s="226"/>
      <c r="QUZ23" s="227"/>
      <c r="QVA23" s="228"/>
      <c r="QVB23" s="228"/>
      <c r="QVC23" s="228"/>
      <c r="QVD23" s="228"/>
      <c r="QVE23" s="228"/>
      <c r="QVF23" s="228"/>
      <c r="QVG23" s="226"/>
      <c r="QVH23" s="226"/>
      <c r="QVI23" s="224"/>
      <c r="QVJ23" s="225"/>
      <c r="QVK23" s="226"/>
      <c r="QVL23" s="227"/>
      <c r="QVM23" s="228"/>
      <c r="QVN23" s="228"/>
      <c r="QVO23" s="228"/>
      <c r="QVP23" s="228"/>
      <c r="QVQ23" s="228"/>
      <c r="QVR23" s="228"/>
      <c r="QVS23" s="226"/>
      <c r="QVT23" s="226"/>
      <c r="QVU23" s="224"/>
      <c r="QVV23" s="225"/>
      <c r="QVW23" s="226"/>
      <c r="QVX23" s="227"/>
      <c r="QVY23" s="228"/>
      <c r="QVZ23" s="228"/>
      <c r="QWA23" s="228"/>
      <c r="QWB23" s="228"/>
      <c r="QWC23" s="228"/>
      <c r="QWD23" s="228"/>
      <c r="QWE23" s="226"/>
      <c r="QWF23" s="226"/>
      <c r="QWG23" s="224"/>
      <c r="QWH23" s="225"/>
      <c r="QWI23" s="226"/>
      <c r="QWJ23" s="227"/>
      <c r="QWK23" s="228"/>
      <c r="QWL23" s="228"/>
      <c r="QWM23" s="228"/>
      <c r="QWN23" s="228"/>
      <c r="QWO23" s="228"/>
      <c r="QWP23" s="228"/>
      <c r="QWQ23" s="226"/>
      <c r="QWR23" s="226"/>
      <c r="QWS23" s="224"/>
      <c r="QWT23" s="225"/>
      <c r="QWU23" s="226"/>
      <c r="QWV23" s="227"/>
      <c r="QWW23" s="228"/>
      <c r="QWX23" s="228"/>
      <c r="QWY23" s="228"/>
      <c r="QWZ23" s="228"/>
      <c r="QXA23" s="228"/>
      <c r="QXB23" s="228"/>
      <c r="QXC23" s="226"/>
      <c r="QXD23" s="226"/>
      <c r="QXE23" s="224"/>
      <c r="QXF23" s="225"/>
      <c r="QXG23" s="226"/>
      <c r="QXH23" s="227"/>
      <c r="QXI23" s="228"/>
      <c r="QXJ23" s="228"/>
      <c r="QXK23" s="228"/>
      <c r="QXL23" s="228"/>
      <c r="QXM23" s="228"/>
      <c r="QXN23" s="228"/>
      <c r="QXO23" s="226"/>
      <c r="QXP23" s="226"/>
      <c r="QXQ23" s="224"/>
      <c r="QXR23" s="225"/>
      <c r="QXS23" s="226"/>
      <c r="QXT23" s="227"/>
      <c r="QXU23" s="228"/>
      <c r="QXV23" s="228"/>
      <c r="QXW23" s="228"/>
      <c r="QXX23" s="228"/>
      <c r="QXY23" s="228"/>
      <c r="QXZ23" s="228"/>
      <c r="QYA23" s="226"/>
      <c r="QYB23" s="226"/>
      <c r="QYC23" s="224"/>
      <c r="QYD23" s="225"/>
      <c r="QYE23" s="226"/>
      <c r="QYF23" s="227"/>
      <c r="QYG23" s="228"/>
      <c r="QYH23" s="228"/>
      <c r="QYI23" s="228"/>
      <c r="QYJ23" s="228"/>
      <c r="QYK23" s="228"/>
      <c r="QYL23" s="228"/>
      <c r="QYM23" s="226"/>
      <c r="QYN23" s="226"/>
      <c r="QYO23" s="224"/>
      <c r="QYP23" s="225"/>
      <c r="QYQ23" s="226"/>
      <c r="QYR23" s="227"/>
      <c r="QYS23" s="228"/>
      <c r="QYT23" s="228"/>
      <c r="QYU23" s="228"/>
      <c r="QYV23" s="228"/>
      <c r="QYW23" s="228"/>
      <c r="QYX23" s="228"/>
      <c r="QYY23" s="226"/>
      <c r="QYZ23" s="226"/>
      <c r="QZA23" s="224"/>
      <c r="QZB23" s="225"/>
      <c r="QZC23" s="226"/>
      <c r="QZD23" s="227"/>
      <c r="QZE23" s="228"/>
      <c r="QZF23" s="228"/>
      <c r="QZG23" s="228"/>
      <c r="QZH23" s="228"/>
      <c r="QZI23" s="228"/>
      <c r="QZJ23" s="228"/>
      <c r="QZK23" s="226"/>
      <c r="QZL23" s="226"/>
      <c r="QZM23" s="224"/>
      <c r="QZN23" s="225"/>
      <c r="QZO23" s="226"/>
      <c r="QZP23" s="227"/>
      <c r="QZQ23" s="228"/>
      <c r="QZR23" s="228"/>
      <c r="QZS23" s="228"/>
      <c r="QZT23" s="228"/>
      <c r="QZU23" s="228"/>
      <c r="QZV23" s="228"/>
      <c r="QZW23" s="226"/>
      <c r="QZX23" s="226"/>
      <c r="QZY23" s="224"/>
      <c r="QZZ23" s="225"/>
      <c r="RAA23" s="226"/>
      <c r="RAB23" s="227"/>
      <c r="RAC23" s="228"/>
      <c r="RAD23" s="228"/>
      <c r="RAE23" s="228"/>
      <c r="RAF23" s="228"/>
      <c r="RAG23" s="228"/>
      <c r="RAH23" s="228"/>
      <c r="RAI23" s="226"/>
      <c r="RAJ23" s="226"/>
      <c r="RAK23" s="224"/>
      <c r="RAL23" s="225"/>
      <c r="RAM23" s="226"/>
      <c r="RAN23" s="227"/>
      <c r="RAO23" s="228"/>
      <c r="RAP23" s="228"/>
      <c r="RAQ23" s="228"/>
      <c r="RAR23" s="228"/>
      <c r="RAS23" s="228"/>
      <c r="RAT23" s="228"/>
      <c r="RAU23" s="226"/>
      <c r="RAV23" s="226"/>
      <c r="RAW23" s="224"/>
      <c r="RAX23" s="225"/>
      <c r="RAY23" s="226"/>
      <c r="RAZ23" s="227"/>
      <c r="RBA23" s="228"/>
      <c r="RBB23" s="228"/>
      <c r="RBC23" s="228"/>
      <c r="RBD23" s="228"/>
      <c r="RBE23" s="228"/>
      <c r="RBF23" s="228"/>
      <c r="RBG23" s="226"/>
      <c r="RBH23" s="226"/>
      <c r="RBI23" s="224"/>
      <c r="RBJ23" s="225"/>
      <c r="RBK23" s="226"/>
      <c r="RBL23" s="227"/>
      <c r="RBM23" s="228"/>
      <c r="RBN23" s="228"/>
      <c r="RBO23" s="228"/>
      <c r="RBP23" s="228"/>
      <c r="RBQ23" s="228"/>
      <c r="RBR23" s="228"/>
      <c r="RBS23" s="226"/>
      <c r="RBT23" s="226"/>
      <c r="RBU23" s="224"/>
      <c r="RBV23" s="225"/>
      <c r="RBW23" s="226"/>
      <c r="RBX23" s="227"/>
      <c r="RBY23" s="228"/>
      <c r="RBZ23" s="228"/>
      <c r="RCA23" s="228"/>
      <c r="RCB23" s="228"/>
      <c r="RCC23" s="228"/>
      <c r="RCD23" s="228"/>
      <c r="RCE23" s="226"/>
      <c r="RCF23" s="226"/>
      <c r="RCG23" s="224"/>
      <c r="RCH23" s="225"/>
      <c r="RCI23" s="226"/>
      <c r="RCJ23" s="227"/>
      <c r="RCK23" s="228"/>
      <c r="RCL23" s="228"/>
      <c r="RCM23" s="228"/>
      <c r="RCN23" s="228"/>
      <c r="RCO23" s="228"/>
      <c r="RCP23" s="228"/>
      <c r="RCQ23" s="226"/>
      <c r="RCR23" s="226"/>
      <c r="RCS23" s="224"/>
      <c r="RCT23" s="225"/>
      <c r="RCU23" s="226"/>
      <c r="RCV23" s="227"/>
      <c r="RCW23" s="228"/>
      <c r="RCX23" s="228"/>
      <c r="RCY23" s="228"/>
      <c r="RCZ23" s="228"/>
      <c r="RDA23" s="228"/>
      <c r="RDB23" s="228"/>
      <c r="RDC23" s="226"/>
      <c r="RDD23" s="226"/>
      <c r="RDE23" s="224"/>
      <c r="RDF23" s="225"/>
      <c r="RDG23" s="226"/>
      <c r="RDH23" s="227"/>
      <c r="RDI23" s="228"/>
      <c r="RDJ23" s="228"/>
      <c r="RDK23" s="228"/>
      <c r="RDL23" s="228"/>
      <c r="RDM23" s="228"/>
      <c r="RDN23" s="228"/>
      <c r="RDO23" s="226"/>
      <c r="RDP23" s="226"/>
      <c r="RDQ23" s="224"/>
      <c r="RDR23" s="225"/>
      <c r="RDS23" s="226"/>
      <c r="RDT23" s="227"/>
      <c r="RDU23" s="228"/>
      <c r="RDV23" s="228"/>
      <c r="RDW23" s="228"/>
      <c r="RDX23" s="228"/>
      <c r="RDY23" s="228"/>
      <c r="RDZ23" s="228"/>
      <c r="REA23" s="226"/>
      <c r="REB23" s="226"/>
      <c r="REC23" s="224"/>
      <c r="RED23" s="225"/>
      <c r="REE23" s="226"/>
      <c r="REF23" s="227"/>
      <c r="REG23" s="228"/>
      <c r="REH23" s="228"/>
      <c r="REI23" s="228"/>
      <c r="REJ23" s="228"/>
      <c r="REK23" s="228"/>
      <c r="REL23" s="228"/>
      <c r="REM23" s="226"/>
      <c r="REN23" s="226"/>
      <c r="REO23" s="224"/>
      <c r="REP23" s="225"/>
      <c r="REQ23" s="226"/>
      <c r="RER23" s="227"/>
      <c r="RES23" s="228"/>
      <c r="RET23" s="228"/>
      <c r="REU23" s="228"/>
      <c r="REV23" s="228"/>
      <c r="REW23" s="228"/>
      <c r="REX23" s="228"/>
      <c r="REY23" s="226"/>
      <c r="REZ23" s="226"/>
      <c r="RFA23" s="224"/>
      <c r="RFB23" s="225"/>
      <c r="RFC23" s="226"/>
      <c r="RFD23" s="227"/>
      <c r="RFE23" s="228"/>
      <c r="RFF23" s="228"/>
      <c r="RFG23" s="228"/>
      <c r="RFH23" s="228"/>
      <c r="RFI23" s="228"/>
      <c r="RFJ23" s="228"/>
      <c r="RFK23" s="226"/>
      <c r="RFL23" s="226"/>
      <c r="RFM23" s="224"/>
      <c r="RFN23" s="225"/>
      <c r="RFO23" s="226"/>
      <c r="RFP23" s="227"/>
      <c r="RFQ23" s="228"/>
      <c r="RFR23" s="228"/>
      <c r="RFS23" s="228"/>
      <c r="RFT23" s="228"/>
      <c r="RFU23" s="228"/>
      <c r="RFV23" s="228"/>
      <c r="RFW23" s="226"/>
      <c r="RFX23" s="226"/>
      <c r="RFY23" s="224"/>
      <c r="RFZ23" s="225"/>
      <c r="RGA23" s="226"/>
      <c r="RGB23" s="227"/>
      <c r="RGC23" s="228"/>
      <c r="RGD23" s="228"/>
      <c r="RGE23" s="228"/>
      <c r="RGF23" s="228"/>
      <c r="RGG23" s="228"/>
      <c r="RGH23" s="228"/>
      <c r="RGI23" s="226"/>
      <c r="RGJ23" s="226"/>
      <c r="RGK23" s="224"/>
      <c r="RGL23" s="225"/>
      <c r="RGM23" s="226"/>
      <c r="RGN23" s="227"/>
      <c r="RGO23" s="228"/>
      <c r="RGP23" s="228"/>
      <c r="RGQ23" s="228"/>
      <c r="RGR23" s="228"/>
      <c r="RGS23" s="228"/>
      <c r="RGT23" s="228"/>
      <c r="RGU23" s="226"/>
      <c r="RGV23" s="226"/>
      <c r="RGW23" s="224"/>
      <c r="RGX23" s="225"/>
      <c r="RGY23" s="226"/>
      <c r="RGZ23" s="227"/>
      <c r="RHA23" s="228"/>
      <c r="RHB23" s="228"/>
      <c r="RHC23" s="228"/>
      <c r="RHD23" s="228"/>
      <c r="RHE23" s="228"/>
      <c r="RHF23" s="228"/>
      <c r="RHG23" s="226"/>
      <c r="RHH23" s="226"/>
      <c r="RHI23" s="224"/>
      <c r="RHJ23" s="225"/>
      <c r="RHK23" s="226"/>
      <c r="RHL23" s="227"/>
      <c r="RHM23" s="228"/>
      <c r="RHN23" s="228"/>
      <c r="RHO23" s="228"/>
      <c r="RHP23" s="228"/>
      <c r="RHQ23" s="228"/>
      <c r="RHR23" s="228"/>
      <c r="RHS23" s="226"/>
      <c r="RHT23" s="226"/>
      <c r="RHU23" s="224"/>
      <c r="RHV23" s="225"/>
      <c r="RHW23" s="226"/>
      <c r="RHX23" s="227"/>
      <c r="RHY23" s="228"/>
      <c r="RHZ23" s="228"/>
      <c r="RIA23" s="228"/>
      <c r="RIB23" s="228"/>
      <c r="RIC23" s="228"/>
      <c r="RID23" s="228"/>
      <c r="RIE23" s="226"/>
      <c r="RIF23" s="226"/>
      <c r="RIG23" s="224"/>
      <c r="RIH23" s="225"/>
      <c r="RII23" s="226"/>
      <c r="RIJ23" s="227"/>
      <c r="RIK23" s="228"/>
      <c r="RIL23" s="228"/>
      <c r="RIM23" s="228"/>
      <c r="RIN23" s="228"/>
      <c r="RIO23" s="228"/>
      <c r="RIP23" s="228"/>
      <c r="RIQ23" s="226"/>
      <c r="RIR23" s="226"/>
      <c r="RIS23" s="224"/>
      <c r="RIT23" s="225"/>
      <c r="RIU23" s="226"/>
      <c r="RIV23" s="227"/>
      <c r="RIW23" s="228"/>
      <c r="RIX23" s="228"/>
      <c r="RIY23" s="228"/>
      <c r="RIZ23" s="228"/>
      <c r="RJA23" s="228"/>
      <c r="RJB23" s="228"/>
      <c r="RJC23" s="226"/>
      <c r="RJD23" s="226"/>
      <c r="RJE23" s="224"/>
      <c r="RJF23" s="225"/>
      <c r="RJG23" s="226"/>
      <c r="RJH23" s="227"/>
      <c r="RJI23" s="228"/>
      <c r="RJJ23" s="228"/>
      <c r="RJK23" s="228"/>
      <c r="RJL23" s="228"/>
      <c r="RJM23" s="228"/>
      <c r="RJN23" s="228"/>
      <c r="RJO23" s="226"/>
      <c r="RJP23" s="226"/>
      <c r="RJQ23" s="224"/>
      <c r="RJR23" s="225"/>
      <c r="RJS23" s="226"/>
      <c r="RJT23" s="227"/>
      <c r="RJU23" s="228"/>
      <c r="RJV23" s="228"/>
      <c r="RJW23" s="228"/>
      <c r="RJX23" s="228"/>
      <c r="RJY23" s="228"/>
      <c r="RJZ23" s="228"/>
      <c r="RKA23" s="226"/>
      <c r="RKB23" s="226"/>
      <c r="RKC23" s="224"/>
      <c r="RKD23" s="225"/>
      <c r="RKE23" s="226"/>
      <c r="RKF23" s="227"/>
      <c r="RKG23" s="228"/>
      <c r="RKH23" s="228"/>
      <c r="RKI23" s="228"/>
      <c r="RKJ23" s="228"/>
      <c r="RKK23" s="228"/>
      <c r="RKL23" s="228"/>
      <c r="RKM23" s="226"/>
      <c r="RKN23" s="226"/>
      <c r="RKO23" s="224"/>
      <c r="RKP23" s="225"/>
      <c r="RKQ23" s="226"/>
      <c r="RKR23" s="227"/>
      <c r="RKS23" s="228"/>
      <c r="RKT23" s="228"/>
      <c r="RKU23" s="228"/>
      <c r="RKV23" s="228"/>
      <c r="RKW23" s="228"/>
      <c r="RKX23" s="228"/>
      <c r="RKY23" s="226"/>
      <c r="RKZ23" s="226"/>
      <c r="RLA23" s="224"/>
      <c r="RLB23" s="225"/>
      <c r="RLC23" s="226"/>
      <c r="RLD23" s="227"/>
      <c r="RLE23" s="228"/>
      <c r="RLF23" s="228"/>
      <c r="RLG23" s="228"/>
      <c r="RLH23" s="228"/>
      <c r="RLI23" s="228"/>
      <c r="RLJ23" s="228"/>
      <c r="RLK23" s="226"/>
      <c r="RLL23" s="226"/>
      <c r="RLM23" s="224"/>
      <c r="RLN23" s="225"/>
      <c r="RLO23" s="226"/>
      <c r="RLP23" s="227"/>
      <c r="RLQ23" s="228"/>
      <c r="RLR23" s="228"/>
      <c r="RLS23" s="228"/>
      <c r="RLT23" s="228"/>
      <c r="RLU23" s="228"/>
      <c r="RLV23" s="228"/>
      <c r="RLW23" s="226"/>
      <c r="RLX23" s="226"/>
      <c r="RLY23" s="224"/>
      <c r="RLZ23" s="225"/>
      <c r="RMA23" s="226"/>
      <c r="RMB23" s="227"/>
      <c r="RMC23" s="228"/>
      <c r="RMD23" s="228"/>
      <c r="RME23" s="228"/>
      <c r="RMF23" s="228"/>
      <c r="RMG23" s="228"/>
      <c r="RMH23" s="228"/>
      <c r="RMI23" s="226"/>
      <c r="RMJ23" s="226"/>
      <c r="RMK23" s="224"/>
      <c r="RML23" s="225"/>
      <c r="RMM23" s="226"/>
      <c r="RMN23" s="227"/>
      <c r="RMO23" s="228"/>
      <c r="RMP23" s="228"/>
      <c r="RMQ23" s="228"/>
      <c r="RMR23" s="228"/>
      <c r="RMS23" s="228"/>
      <c r="RMT23" s="228"/>
      <c r="RMU23" s="226"/>
      <c r="RMV23" s="226"/>
      <c r="RMW23" s="224"/>
      <c r="RMX23" s="225"/>
      <c r="RMY23" s="226"/>
      <c r="RMZ23" s="227"/>
      <c r="RNA23" s="228"/>
      <c r="RNB23" s="228"/>
      <c r="RNC23" s="228"/>
      <c r="RND23" s="228"/>
      <c r="RNE23" s="228"/>
      <c r="RNF23" s="228"/>
      <c r="RNG23" s="226"/>
      <c r="RNH23" s="226"/>
      <c r="RNI23" s="224"/>
      <c r="RNJ23" s="225"/>
      <c r="RNK23" s="226"/>
      <c r="RNL23" s="227"/>
      <c r="RNM23" s="228"/>
      <c r="RNN23" s="228"/>
      <c r="RNO23" s="228"/>
      <c r="RNP23" s="228"/>
      <c r="RNQ23" s="228"/>
      <c r="RNR23" s="228"/>
      <c r="RNS23" s="226"/>
      <c r="RNT23" s="226"/>
      <c r="RNU23" s="224"/>
      <c r="RNV23" s="225"/>
      <c r="RNW23" s="226"/>
      <c r="RNX23" s="227"/>
      <c r="RNY23" s="228"/>
      <c r="RNZ23" s="228"/>
      <c r="ROA23" s="228"/>
      <c r="ROB23" s="228"/>
      <c r="ROC23" s="228"/>
      <c r="ROD23" s="228"/>
      <c r="ROE23" s="226"/>
      <c r="ROF23" s="226"/>
      <c r="ROG23" s="224"/>
      <c r="ROH23" s="225"/>
      <c r="ROI23" s="226"/>
      <c r="ROJ23" s="227"/>
      <c r="ROK23" s="228"/>
      <c r="ROL23" s="228"/>
      <c r="ROM23" s="228"/>
      <c r="RON23" s="228"/>
      <c r="ROO23" s="228"/>
      <c r="ROP23" s="228"/>
      <c r="ROQ23" s="226"/>
      <c r="ROR23" s="226"/>
      <c r="ROS23" s="224"/>
      <c r="ROT23" s="225"/>
      <c r="ROU23" s="226"/>
      <c r="ROV23" s="227"/>
      <c r="ROW23" s="228"/>
      <c r="ROX23" s="228"/>
      <c r="ROY23" s="228"/>
      <c r="ROZ23" s="228"/>
      <c r="RPA23" s="228"/>
      <c r="RPB23" s="228"/>
      <c r="RPC23" s="226"/>
      <c r="RPD23" s="226"/>
      <c r="RPE23" s="224"/>
      <c r="RPF23" s="225"/>
      <c r="RPG23" s="226"/>
      <c r="RPH23" s="227"/>
      <c r="RPI23" s="228"/>
      <c r="RPJ23" s="228"/>
      <c r="RPK23" s="228"/>
      <c r="RPL23" s="228"/>
      <c r="RPM23" s="228"/>
      <c r="RPN23" s="228"/>
      <c r="RPO23" s="226"/>
      <c r="RPP23" s="226"/>
      <c r="RPQ23" s="224"/>
      <c r="RPR23" s="225"/>
      <c r="RPS23" s="226"/>
      <c r="RPT23" s="227"/>
      <c r="RPU23" s="228"/>
      <c r="RPV23" s="228"/>
      <c r="RPW23" s="228"/>
      <c r="RPX23" s="228"/>
      <c r="RPY23" s="228"/>
      <c r="RPZ23" s="228"/>
      <c r="RQA23" s="226"/>
      <c r="RQB23" s="226"/>
      <c r="RQC23" s="224"/>
      <c r="RQD23" s="225"/>
      <c r="RQE23" s="226"/>
      <c r="RQF23" s="227"/>
      <c r="RQG23" s="228"/>
      <c r="RQH23" s="228"/>
      <c r="RQI23" s="228"/>
      <c r="RQJ23" s="228"/>
      <c r="RQK23" s="228"/>
      <c r="RQL23" s="228"/>
      <c r="RQM23" s="226"/>
      <c r="RQN23" s="226"/>
      <c r="RQO23" s="224"/>
      <c r="RQP23" s="225"/>
      <c r="RQQ23" s="226"/>
      <c r="RQR23" s="227"/>
      <c r="RQS23" s="228"/>
      <c r="RQT23" s="228"/>
      <c r="RQU23" s="228"/>
      <c r="RQV23" s="228"/>
      <c r="RQW23" s="228"/>
      <c r="RQX23" s="228"/>
      <c r="RQY23" s="226"/>
      <c r="RQZ23" s="226"/>
      <c r="RRA23" s="224"/>
      <c r="RRB23" s="225"/>
      <c r="RRC23" s="226"/>
      <c r="RRD23" s="227"/>
      <c r="RRE23" s="228"/>
      <c r="RRF23" s="228"/>
      <c r="RRG23" s="228"/>
      <c r="RRH23" s="228"/>
      <c r="RRI23" s="228"/>
      <c r="RRJ23" s="228"/>
      <c r="RRK23" s="226"/>
      <c r="RRL23" s="226"/>
      <c r="RRM23" s="224"/>
      <c r="RRN23" s="225"/>
      <c r="RRO23" s="226"/>
      <c r="RRP23" s="227"/>
      <c r="RRQ23" s="228"/>
      <c r="RRR23" s="228"/>
      <c r="RRS23" s="228"/>
      <c r="RRT23" s="228"/>
      <c r="RRU23" s="228"/>
      <c r="RRV23" s="228"/>
      <c r="RRW23" s="226"/>
      <c r="RRX23" s="226"/>
      <c r="RRY23" s="224"/>
      <c r="RRZ23" s="225"/>
      <c r="RSA23" s="226"/>
      <c r="RSB23" s="227"/>
      <c r="RSC23" s="228"/>
      <c r="RSD23" s="228"/>
      <c r="RSE23" s="228"/>
      <c r="RSF23" s="228"/>
      <c r="RSG23" s="228"/>
      <c r="RSH23" s="228"/>
      <c r="RSI23" s="226"/>
      <c r="RSJ23" s="226"/>
      <c r="RSK23" s="224"/>
      <c r="RSL23" s="225"/>
      <c r="RSM23" s="226"/>
      <c r="RSN23" s="227"/>
      <c r="RSO23" s="228"/>
      <c r="RSP23" s="228"/>
      <c r="RSQ23" s="228"/>
      <c r="RSR23" s="228"/>
      <c r="RSS23" s="228"/>
      <c r="RST23" s="228"/>
      <c r="RSU23" s="226"/>
      <c r="RSV23" s="226"/>
      <c r="RSW23" s="224"/>
      <c r="RSX23" s="225"/>
      <c r="RSY23" s="226"/>
      <c r="RSZ23" s="227"/>
      <c r="RTA23" s="228"/>
      <c r="RTB23" s="228"/>
      <c r="RTC23" s="228"/>
      <c r="RTD23" s="228"/>
      <c r="RTE23" s="228"/>
      <c r="RTF23" s="228"/>
      <c r="RTG23" s="226"/>
      <c r="RTH23" s="226"/>
      <c r="RTI23" s="224"/>
      <c r="RTJ23" s="225"/>
      <c r="RTK23" s="226"/>
      <c r="RTL23" s="227"/>
      <c r="RTM23" s="228"/>
      <c r="RTN23" s="228"/>
      <c r="RTO23" s="228"/>
      <c r="RTP23" s="228"/>
      <c r="RTQ23" s="228"/>
      <c r="RTR23" s="228"/>
      <c r="RTS23" s="226"/>
      <c r="RTT23" s="226"/>
      <c r="RTU23" s="224"/>
      <c r="RTV23" s="225"/>
      <c r="RTW23" s="226"/>
      <c r="RTX23" s="227"/>
      <c r="RTY23" s="228"/>
      <c r="RTZ23" s="228"/>
      <c r="RUA23" s="228"/>
      <c r="RUB23" s="228"/>
      <c r="RUC23" s="228"/>
      <c r="RUD23" s="228"/>
      <c r="RUE23" s="226"/>
      <c r="RUF23" s="226"/>
      <c r="RUG23" s="224"/>
      <c r="RUH23" s="225"/>
      <c r="RUI23" s="226"/>
      <c r="RUJ23" s="227"/>
      <c r="RUK23" s="228"/>
      <c r="RUL23" s="228"/>
      <c r="RUM23" s="228"/>
      <c r="RUN23" s="228"/>
      <c r="RUO23" s="228"/>
      <c r="RUP23" s="228"/>
      <c r="RUQ23" s="226"/>
      <c r="RUR23" s="226"/>
      <c r="RUS23" s="224"/>
      <c r="RUT23" s="225"/>
      <c r="RUU23" s="226"/>
      <c r="RUV23" s="227"/>
      <c r="RUW23" s="228"/>
      <c r="RUX23" s="228"/>
      <c r="RUY23" s="228"/>
      <c r="RUZ23" s="228"/>
      <c r="RVA23" s="228"/>
      <c r="RVB23" s="228"/>
      <c r="RVC23" s="226"/>
      <c r="RVD23" s="226"/>
      <c r="RVE23" s="224"/>
      <c r="RVF23" s="225"/>
      <c r="RVG23" s="226"/>
      <c r="RVH23" s="227"/>
      <c r="RVI23" s="228"/>
      <c r="RVJ23" s="228"/>
      <c r="RVK23" s="228"/>
      <c r="RVL23" s="228"/>
      <c r="RVM23" s="228"/>
      <c r="RVN23" s="228"/>
      <c r="RVO23" s="226"/>
      <c r="RVP23" s="226"/>
      <c r="RVQ23" s="224"/>
      <c r="RVR23" s="225"/>
      <c r="RVS23" s="226"/>
      <c r="RVT23" s="227"/>
      <c r="RVU23" s="228"/>
      <c r="RVV23" s="228"/>
      <c r="RVW23" s="228"/>
      <c r="RVX23" s="228"/>
      <c r="RVY23" s="228"/>
      <c r="RVZ23" s="228"/>
      <c r="RWA23" s="226"/>
      <c r="RWB23" s="226"/>
      <c r="RWC23" s="224"/>
      <c r="RWD23" s="225"/>
      <c r="RWE23" s="226"/>
      <c r="RWF23" s="227"/>
      <c r="RWG23" s="228"/>
      <c r="RWH23" s="228"/>
      <c r="RWI23" s="228"/>
      <c r="RWJ23" s="228"/>
      <c r="RWK23" s="228"/>
      <c r="RWL23" s="228"/>
      <c r="RWM23" s="226"/>
      <c r="RWN23" s="226"/>
      <c r="RWO23" s="224"/>
      <c r="RWP23" s="225"/>
      <c r="RWQ23" s="226"/>
      <c r="RWR23" s="227"/>
      <c r="RWS23" s="228"/>
      <c r="RWT23" s="228"/>
      <c r="RWU23" s="228"/>
      <c r="RWV23" s="228"/>
      <c r="RWW23" s="228"/>
      <c r="RWX23" s="228"/>
      <c r="RWY23" s="226"/>
      <c r="RWZ23" s="226"/>
      <c r="RXA23" s="224"/>
      <c r="RXB23" s="225"/>
      <c r="RXC23" s="226"/>
      <c r="RXD23" s="227"/>
      <c r="RXE23" s="228"/>
      <c r="RXF23" s="228"/>
      <c r="RXG23" s="228"/>
      <c r="RXH23" s="228"/>
      <c r="RXI23" s="228"/>
      <c r="RXJ23" s="228"/>
      <c r="RXK23" s="226"/>
      <c r="RXL23" s="226"/>
      <c r="RXM23" s="224"/>
      <c r="RXN23" s="225"/>
      <c r="RXO23" s="226"/>
      <c r="RXP23" s="227"/>
      <c r="RXQ23" s="228"/>
      <c r="RXR23" s="228"/>
      <c r="RXS23" s="228"/>
      <c r="RXT23" s="228"/>
      <c r="RXU23" s="228"/>
      <c r="RXV23" s="228"/>
      <c r="RXW23" s="226"/>
      <c r="RXX23" s="226"/>
      <c r="RXY23" s="224"/>
      <c r="RXZ23" s="225"/>
      <c r="RYA23" s="226"/>
      <c r="RYB23" s="227"/>
      <c r="RYC23" s="228"/>
      <c r="RYD23" s="228"/>
      <c r="RYE23" s="228"/>
      <c r="RYF23" s="228"/>
      <c r="RYG23" s="228"/>
      <c r="RYH23" s="228"/>
      <c r="RYI23" s="226"/>
      <c r="RYJ23" s="226"/>
      <c r="RYK23" s="224"/>
      <c r="RYL23" s="225"/>
      <c r="RYM23" s="226"/>
      <c r="RYN23" s="227"/>
      <c r="RYO23" s="228"/>
      <c r="RYP23" s="228"/>
      <c r="RYQ23" s="228"/>
      <c r="RYR23" s="228"/>
      <c r="RYS23" s="228"/>
      <c r="RYT23" s="228"/>
      <c r="RYU23" s="226"/>
      <c r="RYV23" s="226"/>
      <c r="RYW23" s="224"/>
      <c r="RYX23" s="225"/>
      <c r="RYY23" s="226"/>
      <c r="RYZ23" s="227"/>
      <c r="RZA23" s="228"/>
      <c r="RZB23" s="228"/>
      <c r="RZC23" s="228"/>
      <c r="RZD23" s="228"/>
      <c r="RZE23" s="228"/>
      <c r="RZF23" s="228"/>
      <c r="RZG23" s="226"/>
      <c r="RZH23" s="226"/>
      <c r="RZI23" s="224"/>
      <c r="RZJ23" s="225"/>
      <c r="RZK23" s="226"/>
      <c r="RZL23" s="227"/>
      <c r="RZM23" s="228"/>
      <c r="RZN23" s="228"/>
      <c r="RZO23" s="228"/>
      <c r="RZP23" s="228"/>
      <c r="RZQ23" s="228"/>
      <c r="RZR23" s="228"/>
      <c r="RZS23" s="226"/>
      <c r="RZT23" s="226"/>
      <c r="RZU23" s="224"/>
      <c r="RZV23" s="225"/>
      <c r="RZW23" s="226"/>
      <c r="RZX23" s="227"/>
      <c r="RZY23" s="228"/>
      <c r="RZZ23" s="228"/>
      <c r="SAA23" s="228"/>
      <c r="SAB23" s="228"/>
      <c r="SAC23" s="228"/>
      <c r="SAD23" s="228"/>
      <c r="SAE23" s="226"/>
      <c r="SAF23" s="226"/>
      <c r="SAG23" s="224"/>
      <c r="SAH23" s="225"/>
      <c r="SAI23" s="226"/>
      <c r="SAJ23" s="227"/>
      <c r="SAK23" s="228"/>
      <c r="SAL23" s="228"/>
      <c r="SAM23" s="228"/>
      <c r="SAN23" s="228"/>
      <c r="SAO23" s="228"/>
      <c r="SAP23" s="228"/>
      <c r="SAQ23" s="226"/>
      <c r="SAR23" s="226"/>
      <c r="SAS23" s="224"/>
      <c r="SAT23" s="225"/>
      <c r="SAU23" s="226"/>
      <c r="SAV23" s="227"/>
      <c r="SAW23" s="228"/>
      <c r="SAX23" s="228"/>
      <c r="SAY23" s="228"/>
      <c r="SAZ23" s="228"/>
      <c r="SBA23" s="228"/>
      <c r="SBB23" s="228"/>
      <c r="SBC23" s="226"/>
      <c r="SBD23" s="226"/>
      <c r="SBE23" s="224"/>
      <c r="SBF23" s="225"/>
      <c r="SBG23" s="226"/>
      <c r="SBH23" s="227"/>
      <c r="SBI23" s="228"/>
      <c r="SBJ23" s="228"/>
      <c r="SBK23" s="228"/>
      <c r="SBL23" s="228"/>
      <c r="SBM23" s="228"/>
      <c r="SBN23" s="228"/>
      <c r="SBO23" s="226"/>
      <c r="SBP23" s="226"/>
      <c r="SBQ23" s="224"/>
      <c r="SBR23" s="225"/>
      <c r="SBS23" s="226"/>
      <c r="SBT23" s="227"/>
      <c r="SBU23" s="228"/>
      <c r="SBV23" s="228"/>
      <c r="SBW23" s="228"/>
      <c r="SBX23" s="228"/>
      <c r="SBY23" s="228"/>
      <c r="SBZ23" s="228"/>
      <c r="SCA23" s="226"/>
      <c r="SCB23" s="226"/>
      <c r="SCC23" s="224"/>
      <c r="SCD23" s="225"/>
      <c r="SCE23" s="226"/>
      <c r="SCF23" s="227"/>
      <c r="SCG23" s="228"/>
      <c r="SCH23" s="228"/>
      <c r="SCI23" s="228"/>
      <c r="SCJ23" s="228"/>
      <c r="SCK23" s="228"/>
      <c r="SCL23" s="228"/>
      <c r="SCM23" s="226"/>
      <c r="SCN23" s="226"/>
      <c r="SCO23" s="224"/>
      <c r="SCP23" s="225"/>
      <c r="SCQ23" s="226"/>
      <c r="SCR23" s="227"/>
      <c r="SCS23" s="228"/>
      <c r="SCT23" s="228"/>
      <c r="SCU23" s="228"/>
      <c r="SCV23" s="228"/>
      <c r="SCW23" s="228"/>
      <c r="SCX23" s="228"/>
      <c r="SCY23" s="226"/>
      <c r="SCZ23" s="226"/>
      <c r="SDA23" s="224"/>
      <c r="SDB23" s="225"/>
      <c r="SDC23" s="226"/>
      <c r="SDD23" s="227"/>
      <c r="SDE23" s="228"/>
      <c r="SDF23" s="228"/>
      <c r="SDG23" s="228"/>
      <c r="SDH23" s="228"/>
      <c r="SDI23" s="228"/>
      <c r="SDJ23" s="228"/>
      <c r="SDK23" s="226"/>
      <c r="SDL23" s="226"/>
      <c r="SDM23" s="224"/>
      <c r="SDN23" s="225"/>
      <c r="SDO23" s="226"/>
      <c r="SDP23" s="227"/>
      <c r="SDQ23" s="228"/>
      <c r="SDR23" s="228"/>
      <c r="SDS23" s="228"/>
      <c r="SDT23" s="228"/>
      <c r="SDU23" s="228"/>
      <c r="SDV23" s="228"/>
      <c r="SDW23" s="226"/>
      <c r="SDX23" s="226"/>
      <c r="SDY23" s="224"/>
      <c r="SDZ23" s="225"/>
      <c r="SEA23" s="226"/>
      <c r="SEB23" s="227"/>
      <c r="SEC23" s="228"/>
      <c r="SED23" s="228"/>
      <c r="SEE23" s="228"/>
      <c r="SEF23" s="228"/>
      <c r="SEG23" s="228"/>
      <c r="SEH23" s="228"/>
      <c r="SEI23" s="226"/>
      <c r="SEJ23" s="226"/>
      <c r="SEK23" s="224"/>
      <c r="SEL23" s="225"/>
      <c r="SEM23" s="226"/>
      <c r="SEN23" s="227"/>
      <c r="SEO23" s="228"/>
      <c r="SEP23" s="228"/>
      <c r="SEQ23" s="228"/>
      <c r="SER23" s="228"/>
      <c r="SES23" s="228"/>
      <c r="SET23" s="228"/>
      <c r="SEU23" s="226"/>
      <c r="SEV23" s="226"/>
      <c r="SEW23" s="224"/>
      <c r="SEX23" s="225"/>
      <c r="SEY23" s="226"/>
      <c r="SEZ23" s="227"/>
      <c r="SFA23" s="228"/>
      <c r="SFB23" s="228"/>
      <c r="SFC23" s="228"/>
      <c r="SFD23" s="228"/>
      <c r="SFE23" s="228"/>
      <c r="SFF23" s="228"/>
      <c r="SFG23" s="226"/>
      <c r="SFH23" s="226"/>
      <c r="SFI23" s="224"/>
      <c r="SFJ23" s="225"/>
      <c r="SFK23" s="226"/>
      <c r="SFL23" s="227"/>
      <c r="SFM23" s="228"/>
      <c r="SFN23" s="228"/>
      <c r="SFO23" s="228"/>
      <c r="SFP23" s="228"/>
      <c r="SFQ23" s="228"/>
      <c r="SFR23" s="228"/>
      <c r="SFS23" s="226"/>
      <c r="SFT23" s="226"/>
      <c r="SFU23" s="224"/>
      <c r="SFV23" s="225"/>
      <c r="SFW23" s="226"/>
      <c r="SFX23" s="227"/>
      <c r="SFY23" s="228"/>
      <c r="SFZ23" s="228"/>
      <c r="SGA23" s="228"/>
      <c r="SGB23" s="228"/>
      <c r="SGC23" s="228"/>
      <c r="SGD23" s="228"/>
      <c r="SGE23" s="226"/>
      <c r="SGF23" s="226"/>
      <c r="SGG23" s="224"/>
      <c r="SGH23" s="225"/>
      <c r="SGI23" s="226"/>
      <c r="SGJ23" s="227"/>
      <c r="SGK23" s="228"/>
      <c r="SGL23" s="228"/>
      <c r="SGM23" s="228"/>
      <c r="SGN23" s="228"/>
      <c r="SGO23" s="228"/>
      <c r="SGP23" s="228"/>
      <c r="SGQ23" s="226"/>
      <c r="SGR23" s="226"/>
      <c r="SGS23" s="224"/>
      <c r="SGT23" s="225"/>
      <c r="SGU23" s="226"/>
      <c r="SGV23" s="227"/>
      <c r="SGW23" s="228"/>
      <c r="SGX23" s="228"/>
      <c r="SGY23" s="228"/>
      <c r="SGZ23" s="228"/>
      <c r="SHA23" s="228"/>
      <c r="SHB23" s="228"/>
      <c r="SHC23" s="226"/>
      <c r="SHD23" s="226"/>
      <c r="SHE23" s="224"/>
      <c r="SHF23" s="225"/>
      <c r="SHG23" s="226"/>
      <c r="SHH23" s="227"/>
      <c r="SHI23" s="228"/>
      <c r="SHJ23" s="228"/>
      <c r="SHK23" s="228"/>
      <c r="SHL23" s="228"/>
      <c r="SHM23" s="228"/>
      <c r="SHN23" s="228"/>
      <c r="SHO23" s="226"/>
      <c r="SHP23" s="226"/>
      <c r="SHQ23" s="224"/>
      <c r="SHR23" s="225"/>
      <c r="SHS23" s="226"/>
      <c r="SHT23" s="227"/>
      <c r="SHU23" s="228"/>
      <c r="SHV23" s="228"/>
      <c r="SHW23" s="228"/>
      <c r="SHX23" s="228"/>
      <c r="SHY23" s="228"/>
      <c r="SHZ23" s="228"/>
      <c r="SIA23" s="226"/>
      <c r="SIB23" s="226"/>
      <c r="SIC23" s="224"/>
      <c r="SID23" s="225"/>
      <c r="SIE23" s="226"/>
      <c r="SIF23" s="227"/>
      <c r="SIG23" s="228"/>
      <c r="SIH23" s="228"/>
      <c r="SII23" s="228"/>
      <c r="SIJ23" s="228"/>
      <c r="SIK23" s="228"/>
      <c r="SIL23" s="228"/>
      <c r="SIM23" s="226"/>
      <c r="SIN23" s="226"/>
      <c r="SIO23" s="224"/>
      <c r="SIP23" s="225"/>
      <c r="SIQ23" s="226"/>
      <c r="SIR23" s="227"/>
      <c r="SIS23" s="228"/>
      <c r="SIT23" s="228"/>
      <c r="SIU23" s="228"/>
      <c r="SIV23" s="228"/>
      <c r="SIW23" s="228"/>
      <c r="SIX23" s="228"/>
      <c r="SIY23" s="226"/>
      <c r="SIZ23" s="226"/>
      <c r="SJA23" s="224"/>
      <c r="SJB23" s="225"/>
      <c r="SJC23" s="226"/>
      <c r="SJD23" s="227"/>
      <c r="SJE23" s="228"/>
      <c r="SJF23" s="228"/>
      <c r="SJG23" s="228"/>
      <c r="SJH23" s="228"/>
      <c r="SJI23" s="228"/>
      <c r="SJJ23" s="228"/>
      <c r="SJK23" s="226"/>
      <c r="SJL23" s="226"/>
      <c r="SJM23" s="224"/>
      <c r="SJN23" s="225"/>
      <c r="SJO23" s="226"/>
      <c r="SJP23" s="227"/>
      <c r="SJQ23" s="228"/>
      <c r="SJR23" s="228"/>
      <c r="SJS23" s="228"/>
      <c r="SJT23" s="228"/>
      <c r="SJU23" s="228"/>
      <c r="SJV23" s="228"/>
      <c r="SJW23" s="226"/>
      <c r="SJX23" s="226"/>
      <c r="SJY23" s="224"/>
      <c r="SJZ23" s="225"/>
      <c r="SKA23" s="226"/>
      <c r="SKB23" s="227"/>
      <c r="SKC23" s="228"/>
      <c r="SKD23" s="228"/>
      <c r="SKE23" s="228"/>
      <c r="SKF23" s="228"/>
      <c r="SKG23" s="228"/>
      <c r="SKH23" s="228"/>
      <c r="SKI23" s="226"/>
      <c r="SKJ23" s="226"/>
      <c r="SKK23" s="224"/>
      <c r="SKL23" s="225"/>
      <c r="SKM23" s="226"/>
      <c r="SKN23" s="227"/>
      <c r="SKO23" s="228"/>
      <c r="SKP23" s="228"/>
      <c r="SKQ23" s="228"/>
      <c r="SKR23" s="228"/>
      <c r="SKS23" s="228"/>
      <c r="SKT23" s="228"/>
      <c r="SKU23" s="226"/>
      <c r="SKV23" s="226"/>
      <c r="SKW23" s="224"/>
      <c r="SKX23" s="225"/>
      <c r="SKY23" s="226"/>
      <c r="SKZ23" s="227"/>
      <c r="SLA23" s="228"/>
      <c r="SLB23" s="228"/>
      <c r="SLC23" s="228"/>
      <c r="SLD23" s="228"/>
      <c r="SLE23" s="228"/>
      <c r="SLF23" s="228"/>
      <c r="SLG23" s="226"/>
      <c r="SLH23" s="226"/>
      <c r="SLI23" s="224"/>
      <c r="SLJ23" s="225"/>
      <c r="SLK23" s="226"/>
      <c r="SLL23" s="227"/>
      <c r="SLM23" s="228"/>
      <c r="SLN23" s="228"/>
      <c r="SLO23" s="228"/>
      <c r="SLP23" s="228"/>
      <c r="SLQ23" s="228"/>
      <c r="SLR23" s="228"/>
      <c r="SLS23" s="226"/>
      <c r="SLT23" s="226"/>
      <c r="SLU23" s="224"/>
      <c r="SLV23" s="225"/>
      <c r="SLW23" s="226"/>
      <c r="SLX23" s="227"/>
      <c r="SLY23" s="228"/>
      <c r="SLZ23" s="228"/>
      <c r="SMA23" s="228"/>
      <c r="SMB23" s="228"/>
      <c r="SMC23" s="228"/>
      <c r="SMD23" s="228"/>
      <c r="SME23" s="226"/>
      <c r="SMF23" s="226"/>
      <c r="SMG23" s="224"/>
      <c r="SMH23" s="225"/>
      <c r="SMI23" s="226"/>
      <c r="SMJ23" s="227"/>
      <c r="SMK23" s="228"/>
      <c r="SML23" s="228"/>
      <c r="SMM23" s="228"/>
      <c r="SMN23" s="228"/>
      <c r="SMO23" s="228"/>
      <c r="SMP23" s="228"/>
      <c r="SMQ23" s="226"/>
      <c r="SMR23" s="226"/>
      <c r="SMS23" s="224"/>
      <c r="SMT23" s="225"/>
      <c r="SMU23" s="226"/>
      <c r="SMV23" s="227"/>
      <c r="SMW23" s="228"/>
      <c r="SMX23" s="228"/>
      <c r="SMY23" s="228"/>
      <c r="SMZ23" s="228"/>
      <c r="SNA23" s="228"/>
      <c r="SNB23" s="228"/>
      <c r="SNC23" s="226"/>
      <c r="SND23" s="226"/>
      <c r="SNE23" s="224"/>
      <c r="SNF23" s="225"/>
      <c r="SNG23" s="226"/>
      <c r="SNH23" s="227"/>
      <c r="SNI23" s="228"/>
      <c r="SNJ23" s="228"/>
      <c r="SNK23" s="228"/>
      <c r="SNL23" s="228"/>
      <c r="SNM23" s="228"/>
      <c r="SNN23" s="228"/>
      <c r="SNO23" s="226"/>
      <c r="SNP23" s="226"/>
      <c r="SNQ23" s="224"/>
      <c r="SNR23" s="225"/>
      <c r="SNS23" s="226"/>
      <c r="SNT23" s="227"/>
      <c r="SNU23" s="228"/>
      <c r="SNV23" s="228"/>
      <c r="SNW23" s="228"/>
      <c r="SNX23" s="228"/>
      <c r="SNY23" s="228"/>
      <c r="SNZ23" s="228"/>
      <c r="SOA23" s="226"/>
      <c r="SOB23" s="226"/>
      <c r="SOC23" s="224"/>
      <c r="SOD23" s="225"/>
      <c r="SOE23" s="226"/>
      <c r="SOF23" s="227"/>
      <c r="SOG23" s="228"/>
      <c r="SOH23" s="228"/>
      <c r="SOI23" s="228"/>
      <c r="SOJ23" s="228"/>
      <c r="SOK23" s="228"/>
      <c r="SOL23" s="228"/>
      <c r="SOM23" s="226"/>
      <c r="SON23" s="226"/>
      <c r="SOO23" s="224"/>
      <c r="SOP23" s="225"/>
      <c r="SOQ23" s="226"/>
      <c r="SOR23" s="227"/>
      <c r="SOS23" s="228"/>
      <c r="SOT23" s="228"/>
      <c r="SOU23" s="228"/>
      <c r="SOV23" s="228"/>
      <c r="SOW23" s="228"/>
      <c r="SOX23" s="228"/>
      <c r="SOY23" s="226"/>
      <c r="SOZ23" s="226"/>
      <c r="SPA23" s="224"/>
      <c r="SPB23" s="225"/>
      <c r="SPC23" s="226"/>
      <c r="SPD23" s="227"/>
      <c r="SPE23" s="228"/>
      <c r="SPF23" s="228"/>
      <c r="SPG23" s="228"/>
      <c r="SPH23" s="228"/>
      <c r="SPI23" s="228"/>
      <c r="SPJ23" s="228"/>
      <c r="SPK23" s="226"/>
      <c r="SPL23" s="226"/>
      <c r="SPM23" s="224"/>
      <c r="SPN23" s="225"/>
      <c r="SPO23" s="226"/>
      <c r="SPP23" s="227"/>
      <c r="SPQ23" s="228"/>
      <c r="SPR23" s="228"/>
      <c r="SPS23" s="228"/>
      <c r="SPT23" s="228"/>
      <c r="SPU23" s="228"/>
      <c r="SPV23" s="228"/>
      <c r="SPW23" s="226"/>
      <c r="SPX23" s="226"/>
      <c r="SPY23" s="224"/>
      <c r="SPZ23" s="225"/>
      <c r="SQA23" s="226"/>
      <c r="SQB23" s="227"/>
      <c r="SQC23" s="228"/>
      <c r="SQD23" s="228"/>
      <c r="SQE23" s="228"/>
      <c r="SQF23" s="228"/>
      <c r="SQG23" s="228"/>
      <c r="SQH23" s="228"/>
      <c r="SQI23" s="226"/>
      <c r="SQJ23" s="226"/>
      <c r="SQK23" s="224"/>
      <c r="SQL23" s="225"/>
      <c r="SQM23" s="226"/>
      <c r="SQN23" s="227"/>
      <c r="SQO23" s="228"/>
      <c r="SQP23" s="228"/>
      <c r="SQQ23" s="228"/>
      <c r="SQR23" s="228"/>
      <c r="SQS23" s="228"/>
      <c r="SQT23" s="228"/>
      <c r="SQU23" s="226"/>
      <c r="SQV23" s="226"/>
      <c r="SQW23" s="224"/>
      <c r="SQX23" s="225"/>
      <c r="SQY23" s="226"/>
      <c r="SQZ23" s="227"/>
      <c r="SRA23" s="228"/>
      <c r="SRB23" s="228"/>
      <c r="SRC23" s="228"/>
      <c r="SRD23" s="228"/>
      <c r="SRE23" s="228"/>
      <c r="SRF23" s="228"/>
      <c r="SRG23" s="226"/>
      <c r="SRH23" s="226"/>
      <c r="SRI23" s="224"/>
      <c r="SRJ23" s="225"/>
      <c r="SRK23" s="226"/>
      <c r="SRL23" s="227"/>
      <c r="SRM23" s="228"/>
      <c r="SRN23" s="228"/>
      <c r="SRO23" s="228"/>
      <c r="SRP23" s="228"/>
      <c r="SRQ23" s="228"/>
      <c r="SRR23" s="228"/>
      <c r="SRS23" s="226"/>
      <c r="SRT23" s="226"/>
      <c r="SRU23" s="224"/>
      <c r="SRV23" s="225"/>
      <c r="SRW23" s="226"/>
      <c r="SRX23" s="227"/>
      <c r="SRY23" s="228"/>
      <c r="SRZ23" s="228"/>
      <c r="SSA23" s="228"/>
      <c r="SSB23" s="228"/>
      <c r="SSC23" s="228"/>
      <c r="SSD23" s="228"/>
      <c r="SSE23" s="226"/>
      <c r="SSF23" s="226"/>
      <c r="SSG23" s="224"/>
      <c r="SSH23" s="225"/>
      <c r="SSI23" s="226"/>
      <c r="SSJ23" s="227"/>
      <c r="SSK23" s="228"/>
      <c r="SSL23" s="228"/>
      <c r="SSM23" s="228"/>
      <c r="SSN23" s="228"/>
      <c r="SSO23" s="228"/>
      <c r="SSP23" s="228"/>
      <c r="SSQ23" s="226"/>
      <c r="SSR23" s="226"/>
      <c r="SSS23" s="224"/>
      <c r="SST23" s="225"/>
      <c r="SSU23" s="226"/>
      <c r="SSV23" s="227"/>
      <c r="SSW23" s="228"/>
      <c r="SSX23" s="228"/>
      <c r="SSY23" s="228"/>
      <c r="SSZ23" s="228"/>
      <c r="STA23" s="228"/>
      <c r="STB23" s="228"/>
      <c r="STC23" s="226"/>
      <c r="STD23" s="226"/>
      <c r="STE23" s="224"/>
      <c r="STF23" s="225"/>
      <c r="STG23" s="226"/>
      <c r="STH23" s="227"/>
      <c r="STI23" s="228"/>
      <c r="STJ23" s="228"/>
      <c r="STK23" s="228"/>
      <c r="STL23" s="228"/>
      <c r="STM23" s="228"/>
      <c r="STN23" s="228"/>
      <c r="STO23" s="226"/>
      <c r="STP23" s="226"/>
      <c r="STQ23" s="224"/>
      <c r="STR23" s="225"/>
      <c r="STS23" s="226"/>
      <c r="STT23" s="227"/>
      <c r="STU23" s="228"/>
      <c r="STV23" s="228"/>
      <c r="STW23" s="228"/>
      <c r="STX23" s="228"/>
      <c r="STY23" s="228"/>
      <c r="STZ23" s="228"/>
      <c r="SUA23" s="226"/>
      <c r="SUB23" s="226"/>
      <c r="SUC23" s="224"/>
      <c r="SUD23" s="225"/>
      <c r="SUE23" s="226"/>
      <c r="SUF23" s="227"/>
      <c r="SUG23" s="228"/>
      <c r="SUH23" s="228"/>
      <c r="SUI23" s="228"/>
      <c r="SUJ23" s="228"/>
      <c r="SUK23" s="228"/>
      <c r="SUL23" s="228"/>
      <c r="SUM23" s="226"/>
      <c r="SUN23" s="226"/>
      <c r="SUO23" s="224"/>
      <c r="SUP23" s="225"/>
      <c r="SUQ23" s="226"/>
      <c r="SUR23" s="227"/>
      <c r="SUS23" s="228"/>
      <c r="SUT23" s="228"/>
      <c r="SUU23" s="228"/>
      <c r="SUV23" s="228"/>
      <c r="SUW23" s="228"/>
      <c r="SUX23" s="228"/>
      <c r="SUY23" s="226"/>
      <c r="SUZ23" s="226"/>
      <c r="SVA23" s="224"/>
      <c r="SVB23" s="225"/>
      <c r="SVC23" s="226"/>
      <c r="SVD23" s="227"/>
      <c r="SVE23" s="228"/>
      <c r="SVF23" s="228"/>
      <c r="SVG23" s="228"/>
      <c r="SVH23" s="228"/>
      <c r="SVI23" s="228"/>
      <c r="SVJ23" s="228"/>
      <c r="SVK23" s="226"/>
      <c r="SVL23" s="226"/>
      <c r="SVM23" s="224"/>
      <c r="SVN23" s="225"/>
      <c r="SVO23" s="226"/>
      <c r="SVP23" s="227"/>
      <c r="SVQ23" s="228"/>
      <c r="SVR23" s="228"/>
      <c r="SVS23" s="228"/>
      <c r="SVT23" s="228"/>
      <c r="SVU23" s="228"/>
      <c r="SVV23" s="228"/>
      <c r="SVW23" s="226"/>
      <c r="SVX23" s="226"/>
      <c r="SVY23" s="224"/>
      <c r="SVZ23" s="225"/>
      <c r="SWA23" s="226"/>
      <c r="SWB23" s="227"/>
      <c r="SWC23" s="228"/>
      <c r="SWD23" s="228"/>
      <c r="SWE23" s="228"/>
      <c r="SWF23" s="228"/>
      <c r="SWG23" s="228"/>
      <c r="SWH23" s="228"/>
      <c r="SWI23" s="226"/>
      <c r="SWJ23" s="226"/>
      <c r="SWK23" s="224"/>
      <c r="SWL23" s="225"/>
      <c r="SWM23" s="226"/>
      <c r="SWN23" s="227"/>
      <c r="SWO23" s="228"/>
      <c r="SWP23" s="228"/>
      <c r="SWQ23" s="228"/>
      <c r="SWR23" s="228"/>
      <c r="SWS23" s="228"/>
      <c r="SWT23" s="228"/>
      <c r="SWU23" s="226"/>
      <c r="SWV23" s="226"/>
      <c r="SWW23" s="224"/>
      <c r="SWX23" s="225"/>
      <c r="SWY23" s="226"/>
      <c r="SWZ23" s="227"/>
      <c r="SXA23" s="228"/>
      <c r="SXB23" s="228"/>
      <c r="SXC23" s="228"/>
      <c r="SXD23" s="228"/>
      <c r="SXE23" s="228"/>
      <c r="SXF23" s="228"/>
      <c r="SXG23" s="226"/>
      <c r="SXH23" s="226"/>
      <c r="SXI23" s="224"/>
      <c r="SXJ23" s="225"/>
      <c r="SXK23" s="226"/>
      <c r="SXL23" s="227"/>
      <c r="SXM23" s="228"/>
      <c r="SXN23" s="228"/>
      <c r="SXO23" s="228"/>
      <c r="SXP23" s="228"/>
      <c r="SXQ23" s="228"/>
      <c r="SXR23" s="228"/>
      <c r="SXS23" s="226"/>
      <c r="SXT23" s="226"/>
      <c r="SXU23" s="224"/>
      <c r="SXV23" s="225"/>
      <c r="SXW23" s="226"/>
      <c r="SXX23" s="227"/>
      <c r="SXY23" s="228"/>
      <c r="SXZ23" s="228"/>
      <c r="SYA23" s="228"/>
      <c r="SYB23" s="228"/>
      <c r="SYC23" s="228"/>
      <c r="SYD23" s="228"/>
      <c r="SYE23" s="226"/>
      <c r="SYF23" s="226"/>
      <c r="SYG23" s="224"/>
      <c r="SYH23" s="225"/>
      <c r="SYI23" s="226"/>
      <c r="SYJ23" s="227"/>
      <c r="SYK23" s="228"/>
      <c r="SYL23" s="228"/>
      <c r="SYM23" s="228"/>
      <c r="SYN23" s="228"/>
      <c r="SYO23" s="228"/>
      <c r="SYP23" s="228"/>
      <c r="SYQ23" s="226"/>
      <c r="SYR23" s="226"/>
      <c r="SYS23" s="224"/>
      <c r="SYT23" s="225"/>
      <c r="SYU23" s="226"/>
      <c r="SYV23" s="227"/>
      <c r="SYW23" s="228"/>
      <c r="SYX23" s="228"/>
      <c r="SYY23" s="228"/>
      <c r="SYZ23" s="228"/>
      <c r="SZA23" s="228"/>
      <c r="SZB23" s="228"/>
      <c r="SZC23" s="226"/>
      <c r="SZD23" s="226"/>
      <c r="SZE23" s="224"/>
      <c r="SZF23" s="225"/>
      <c r="SZG23" s="226"/>
      <c r="SZH23" s="227"/>
      <c r="SZI23" s="228"/>
      <c r="SZJ23" s="228"/>
      <c r="SZK23" s="228"/>
      <c r="SZL23" s="228"/>
      <c r="SZM23" s="228"/>
      <c r="SZN23" s="228"/>
      <c r="SZO23" s="226"/>
      <c r="SZP23" s="226"/>
      <c r="SZQ23" s="224"/>
      <c r="SZR23" s="225"/>
      <c r="SZS23" s="226"/>
      <c r="SZT23" s="227"/>
      <c r="SZU23" s="228"/>
      <c r="SZV23" s="228"/>
      <c r="SZW23" s="228"/>
      <c r="SZX23" s="228"/>
      <c r="SZY23" s="228"/>
      <c r="SZZ23" s="228"/>
      <c r="TAA23" s="226"/>
      <c r="TAB23" s="226"/>
      <c r="TAC23" s="224"/>
      <c r="TAD23" s="225"/>
      <c r="TAE23" s="226"/>
      <c r="TAF23" s="227"/>
      <c r="TAG23" s="228"/>
      <c r="TAH23" s="228"/>
      <c r="TAI23" s="228"/>
      <c r="TAJ23" s="228"/>
      <c r="TAK23" s="228"/>
      <c r="TAL23" s="228"/>
      <c r="TAM23" s="226"/>
      <c r="TAN23" s="226"/>
      <c r="TAO23" s="224"/>
      <c r="TAP23" s="225"/>
      <c r="TAQ23" s="226"/>
      <c r="TAR23" s="227"/>
      <c r="TAS23" s="228"/>
      <c r="TAT23" s="228"/>
      <c r="TAU23" s="228"/>
      <c r="TAV23" s="228"/>
      <c r="TAW23" s="228"/>
      <c r="TAX23" s="228"/>
      <c r="TAY23" s="226"/>
      <c r="TAZ23" s="226"/>
      <c r="TBA23" s="224"/>
      <c r="TBB23" s="225"/>
      <c r="TBC23" s="226"/>
      <c r="TBD23" s="227"/>
      <c r="TBE23" s="228"/>
      <c r="TBF23" s="228"/>
      <c r="TBG23" s="228"/>
      <c r="TBH23" s="228"/>
      <c r="TBI23" s="228"/>
      <c r="TBJ23" s="228"/>
      <c r="TBK23" s="226"/>
      <c r="TBL23" s="226"/>
      <c r="TBM23" s="224"/>
      <c r="TBN23" s="225"/>
      <c r="TBO23" s="226"/>
      <c r="TBP23" s="227"/>
      <c r="TBQ23" s="228"/>
      <c r="TBR23" s="228"/>
      <c r="TBS23" s="228"/>
      <c r="TBT23" s="228"/>
      <c r="TBU23" s="228"/>
      <c r="TBV23" s="228"/>
      <c r="TBW23" s="226"/>
      <c r="TBX23" s="226"/>
      <c r="TBY23" s="224"/>
      <c r="TBZ23" s="225"/>
      <c r="TCA23" s="226"/>
      <c r="TCB23" s="227"/>
      <c r="TCC23" s="228"/>
      <c r="TCD23" s="228"/>
      <c r="TCE23" s="228"/>
      <c r="TCF23" s="228"/>
      <c r="TCG23" s="228"/>
      <c r="TCH23" s="228"/>
      <c r="TCI23" s="226"/>
      <c r="TCJ23" s="226"/>
      <c r="TCK23" s="224"/>
      <c r="TCL23" s="225"/>
      <c r="TCM23" s="226"/>
      <c r="TCN23" s="227"/>
      <c r="TCO23" s="228"/>
      <c r="TCP23" s="228"/>
      <c r="TCQ23" s="228"/>
      <c r="TCR23" s="228"/>
      <c r="TCS23" s="228"/>
      <c r="TCT23" s="228"/>
      <c r="TCU23" s="226"/>
      <c r="TCV23" s="226"/>
      <c r="TCW23" s="224"/>
      <c r="TCX23" s="225"/>
      <c r="TCY23" s="226"/>
      <c r="TCZ23" s="227"/>
      <c r="TDA23" s="228"/>
      <c r="TDB23" s="228"/>
      <c r="TDC23" s="228"/>
      <c r="TDD23" s="228"/>
      <c r="TDE23" s="228"/>
      <c r="TDF23" s="228"/>
      <c r="TDG23" s="226"/>
      <c r="TDH23" s="226"/>
      <c r="TDI23" s="224"/>
      <c r="TDJ23" s="225"/>
      <c r="TDK23" s="226"/>
      <c r="TDL23" s="227"/>
      <c r="TDM23" s="228"/>
      <c r="TDN23" s="228"/>
      <c r="TDO23" s="228"/>
      <c r="TDP23" s="228"/>
      <c r="TDQ23" s="228"/>
      <c r="TDR23" s="228"/>
      <c r="TDS23" s="226"/>
      <c r="TDT23" s="226"/>
      <c r="TDU23" s="224"/>
      <c r="TDV23" s="225"/>
      <c r="TDW23" s="226"/>
      <c r="TDX23" s="227"/>
      <c r="TDY23" s="228"/>
      <c r="TDZ23" s="228"/>
      <c r="TEA23" s="228"/>
      <c r="TEB23" s="228"/>
      <c r="TEC23" s="228"/>
      <c r="TED23" s="228"/>
      <c r="TEE23" s="226"/>
      <c r="TEF23" s="226"/>
      <c r="TEG23" s="224"/>
      <c r="TEH23" s="225"/>
      <c r="TEI23" s="226"/>
      <c r="TEJ23" s="227"/>
      <c r="TEK23" s="228"/>
      <c r="TEL23" s="228"/>
      <c r="TEM23" s="228"/>
      <c r="TEN23" s="228"/>
      <c r="TEO23" s="228"/>
      <c r="TEP23" s="228"/>
      <c r="TEQ23" s="226"/>
      <c r="TER23" s="226"/>
      <c r="TES23" s="224"/>
      <c r="TET23" s="225"/>
      <c r="TEU23" s="226"/>
      <c r="TEV23" s="227"/>
      <c r="TEW23" s="228"/>
      <c r="TEX23" s="228"/>
      <c r="TEY23" s="228"/>
      <c r="TEZ23" s="228"/>
      <c r="TFA23" s="228"/>
      <c r="TFB23" s="228"/>
      <c r="TFC23" s="226"/>
      <c r="TFD23" s="226"/>
      <c r="TFE23" s="224"/>
      <c r="TFF23" s="225"/>
      <c r="TFG23" s="226"/>
      <c r="TFH23" s="227"/>
      <c r="TFI23" s="228"/>
      <c r="TFJ23" s="228"/>
      <c r="TFK23" s="228"/>
      <c r="TFL23" s="228"/>
      <c r="TFM23" s="228"/>
      <c r="TFN23" s="228"/>
      <c r="TFO23" s="226"/>
      <c r="TFP23" s="226"/>
      <c r="TFQ23" s="224"/>
      <c r="TFR23" s="225"/>
      <c r="TFS23" s="226"/>
      <c r="TFT23" s="227"/>
      <c r="TFU23" s="228"/>
      <c r="TFV23" s="228"/>
      <c r="TFW23" s="228"/>
      <c r="TFX23" s="228"/>
      <c r="TFY23" s="228"/>
      <c r="TFZ23" s="228"/>
      <c r="TGA23" s="226"/>
      <c r="TGB23" s="226"/>
      <c r="TGC23" s="224"/>
      <c r="TGD23" s="225"/>
      <c r="TGE23" s="226"/>
      <c r="TGF23" s="227"/>
      <c r="TGG23" s="228"/>
      <c r="TGH23" s="228"/>
      <c r="TGI23" s="228"/>
      <c r="TGJ23" s="228"/>
      <c r="TGK23" s="228"/>
      <c r="TGL23" s="228"/>
      <c r="TGM23" s="226"/>
      <c r="TGN23" s="226"/>
      <c r="TGO23" s="224"/>
      <c r="TGP23" s="225"/>
      <c r="TGQ23" s="226"/>
      <c r="TGR23" s="227"/>
      <c r="TGS23" s="228"/>
      <c r="TGT23" s="228"/>
      <c r="TGU23" s="228"/>
      <c r="TGV23" s="228"/>
      <c r="TGW23" s="228"/>
      <c r="TGX23" s="228"/>
      <c r="TGY23" s="226"/>
      <c r="TGZ23" s="226"/>
      <c r="THA23" s="224"/>
      <c r="THB23" s="225"/>
      <c r="THC23" s="226"/>
      <c r="THD23" s="227"/>
      <c r="THE23" s="228"/>
      <c r="THF23" s="228"/>
      <c r="THG23" s="228"/>
      <c r="THH23" s="228"/>
      <c r="THI23" s="228"/>
      <c r="THJ23" s="228"/>
      <c r="THK23" s="226"/>
      <c r="THL23" s="226"/>
      <c r="THM23" s="224"/>
      <c r="THN23" s="225"/>
      <c r="THO23" s="226"/>
      <c r="THP23" s="227"/>
      <c r="THQ23" s="228"/>
      <c r="THR23" s="228"/>
      <c r="THS23" s="228"/>
      <c r="THT23" s="228"/>
      <c r="THU23" s="228"/>
      <c r="THV23" s="228"/>
      <c r="THW23" s="226"/>
      <c r="THX23" s="226"/>
      <c r="THY23" s="224"/>
      <c r="THZ23" s="225"/>
      <c r="TIA23" s="226"/>
      <c r="TIB23" s="227"/>
      <c r="TIC23" s="228"/>
      <c r="TID23" s="228"/>
      <c r="TIE23" s="228"/>
      <c r="TIF23" s="228"/>
      <c r="TIG23" s="228"/>
      <c r="TIH23" s="228"/>
      <c r="TII23" s="226"/>
      <c r="TIJ23" s="226"/>
      <c r="TIK23" s="224"/>
      <c r="TIL23" s="225"/>
      <c r="TIM23" s="226"/>
      <c r="TIN23" s="227"/>
      <c r="TIO23" s="228"/>
      <c r="TIP23" s="228"/>
      <c r="TIQ23" s="228"/>
      <c r="TIR23" s="228"/>
      <c r="TIS23" s="228"/>
      <c r="TIT23" s="228"/>
      <c r="TIU23" s="226"/>
      <c r="TIV23" s="226"/>
      <c r="TIW23" s="224"/>
      <c r="TIX23" s="225"/>
      <c r="TIY23" s="226"/>
      <c r="TIZ23" s="227"/>
      <c r="TJA23" s="228"/>
      <c r="TJB23" s="228"/>
      <c r="TJC23" s="228"/>
      <c r="TJD23" s="228"/>
      <c r="TJE23" s="228"/>
      <c r="TJF23" s="228"/>
      <c r="TJG23" s="226"/>
      <c r="TJH23" s="226"/>
      <c r="TJI23" s="224"/>
      <c r="TJJ23" s="225"/>
      <c r="TJK23" s="226"/>
      <c r="TJL23" s="227"/>
      <c r="TJM23" s="228"/>
      <c r="TJN23" s="228"/>
      <c r="TJO23" s="228"/>
      <c r="TJP23" s="228"/>
      <c r="TJQ23" s="228"/>
      <c r="TJR23" s="228"/>
      <c r="TJS23" s="226"/>
      <c r="TJT23" s="226"/>
      <c r="TJU23" s="224"/>
      <c r="TJV23" s="225"/>
      <c r="TJW23" s="226"/>
      <c r="TJX23" s="227"/>
      <c r="TJY23" s="228"/>
      <c r="TJZ23" s="228"/>
      <c r="TKA23" s="228"/>
      <c r="TKB23" s="228"/>
      <c r="TKC23" s="228"/>
      <c r="TKD23" s="228"/>
      <c r="TKE23" s="226"/>
      <c r="TKF23" s="226"/>
      <c r="TKG23" s="224"/>
      <c r="TKH23" s="225"/>
      <c r="TKI23" s="226"/>
      <c r="TKJ23" s="227"/>
      <c r="TKK23" s="228"/>
      <c r="TKL23" s="228"/>
      <c r="TKM23" s="228"/>
      <c r="TKN23" s="228"/>
      <c r="TKO23" s="228"/>
      <c r="TKP23" s="228"/>
      <c r="TKQ23" s="226"/>
      <c r="TKR23" s="226"/>
      <c r="TKS23" s="224"/>
      <c r="TKT23" s="225"/>
      <c r="TKU23" s="226"/>
      <c r="TKV23" s="227"/>
      <c r="TKW23" s="228"/>
      <c r="TKX23" s="228"/>
      <c r="TKY23" s="228"/>
      <c r="TKZ23" s="228"/>
      <c r="TLA23" s="228"/>
      <c r="TLB23" s="228"/>
      <c r="TLC23" s="226"/>
      <c r="TLD23" s="226"/>
      <c r="TLE23" s="224"/>
      <c r="TLF23" s="225"/>
      <c r="TLG23" s="226"/>
      <c r="TLH23" s="227"/>
      <c r="TLI23" s="228"/>
      <c r="TLJ23" s="228"/>
      <c r="TLK23" s="228"/>
      <c r="TLL23" s="228"/>
      <c r="TLM23" s="228"/>
      <c r="TLN23" s="228"/>
      <c r="TLO23" s="226"/>
      <c r="TLP23" s="226"/>
      <c r="TLQ23" s="224"/>
      <c r="TLR23" s="225"/>
      <c r="TLS23" s="226"/>
      <c r="TLT23" s="227"/>
      <c r="TLU23" s="228"/>
      <c r="TLV23" s="228"/>
      <c r="TLW23" s="228"/>
      <c r="TLX23" s="228"/>
      <c r="TLY23" s="228"/>
      <c r="TLZ23" s="228"/>
      <c r="TMA23" s="226"/>
      <c r="TMB23" s="226"/>
      <c r="TMC23" s="224"/>
      <c r="TMD23" s="225"/>
      <c r="TME23" s="226"/>
      <c r="TMF23" s="227"/>
      <c r="TMG23" s="228"/>
      <c r="TMH23" s="228"/>
      <c r="TMI23" s="228"/>
      <c r="TMJ23" s="228"/>
      <c r="TMK23" s="228"/>
      <c r="TML23" s="228"/>
      <c r="TMM23" s="226"/>
      <c r="TMN23" s="226"/>
      <c r="TMO23" s="224"/>
      <c r="TMP23" s="225"/>
      <c r="TMQ23" s="226"/>
      <c r="TMR23" s="227"/>
      <c r="TMS23" s="228"/>
      <c r="TMT23" s="228"/>
      <c r="TMU23" s="228"/>
      <c r="TMV23" s="228"/>
      <c r="TMW23" s="228"/>
      <c r="TMX23" s="228"/>
      <c r="TMY23" s="226"/>
      <c r="TMZ23" s="226"/>
      <c r="TNA23" s="224"/>
      <c r="TNB23" s="225"/>
      <c r="TNC23" s="226"/>
      <c r="TND23" s="227"/>
      <c r="TNE23" s="228"/>
      <c r="TNF23" s="228"/>
      <c r="TNG23" s="228"/>
      <c r="TNH23" s="228"/>
      <c r="TNI23" s="228"/>
      <c r="TNJ23" s="228"/>
      <c r="TNK23" s="226"/>
      <c r="TNL23" s="226"/>
      <c r="TNM23" s="224"/>
      <c r="TNN23" s="225"/>
      <c r="TNO23" s="226"/>
      <c r="TNP23" s="227"/>
      <c r="TNQ23" s="228"/>
      <c r="TNR23" s="228"/>
      <c r="TNS23" s="228"/>
      <c r="TNT23" s="228"/>
      <c r="TNU23" s="228"/>
      <c r="TNV23" s="228"/>
      <c r="TNW23" s="226"/>
      <c r="TNX23" s="226"/>
      <c r="TNY23" s="224"/>
      <c r="TNZ23" s="225"/>
      <c r="TOA23" s="226"/>
      <c r="TOB23" s="227"/>
      <c r="TOC23" s="228"/>
      <c r="TOD23" s="228"/>
      <c r="TOE23" s="228"/>
      <c r="TOF23" s="228"/>
      <c r="TOG23" s="228"/>
      <c r="TOH23" s="228"/>
      <c r="TOI23" s="226"/>
      <c r="TOJ23" s="226"/>
      <c r="TOK23" s="224"/>
      <c r="TOL23" s="225"/>
      <c r="TOM23" s="226"/>
      <c r="TON23" s="227"/>
      <c r="TOO23" s="228"/>
      <c r="TOP23" s="228"/>
      <c r="TOQ23" s="228"/>
      <c r="TOR23" s="228"/>
      <c r="TOS23" s="228"/>
      <c r="TOT23" s="228"/>
      <c r="TOU23" s="226"/>
      <c r="TOV23" s="226"/>
      <c r="TOW23" s="224"/>
      <c r="TOX23" s="225"/>
      <c r="TOY23" s="226"/>
      <c r="TOZ23" s="227"/>
      <c r="TPA23" s="228"/>
      <c r="TPB23" s="228"/>
      <c r="TPC23" s="228"/>
      <c r="TPD23" s="228"/>
      <c r="TPE23" s="228"/>
      <c r="TPF23" s="228"/>
      <c r="TPG23" s="226"/>
      <c r="TPH23" s="226"/>
      <c r="TPI23" s="224"/>
      <c r="TPJ23" s="225"/>
      <c r="TPK23" s="226"/>
      <c r="TPL23" s="227"/>
      <c r="TPM23" s="228"/>
      <c r="TPN23" s="228"/>
      <c r="TPO23" s="228"/>
      <c r="TPP23" s="228"/>
      <c r="TPQ23" s="228"/>
      <c r="TPR23" s="228"/>
      <c r="TPS23" s="226"/>
      <c r="TPT23" s="226"/>
      <c r="TPU23" s="224"/>
      <c r="TPV23" s="225"/>
      <c r="TPW23" s="226"/>
      <c r="TPX23" s="227"/>
      <c r="TPY23" s="228"/>
      <c r="TPZ23" s="228"/>
      <c r="TQA23" s="228"/>
      <c r="TQB23" s="228"/>
      <c r="TQC23" s="228"/>
      <c r="TQD23" s="228"/>
      <c r="TQE23" s="226"/>
      <c r="TQF23" s="226"/>
      <c r="TQG23" s="224"/>
      <c r="TQH23" s="225"/>
      <c r="TQI23" s="226"/>
      <c r="TQJ23" s="227"/>
      <c r="TQK23" s="228"/>
      <c r="TQL23" s="228"/>
      <c r="TQM23" s="228"/>
      <c r="TQN23" s="228"/>
      <c r="TQO23" s="228"/>
      <c r="TQP23" s="228"/>
      <c r="TQQ23" s="226"/>
      <c r="TQR23" s="226"/>
      <c r="TQS23" s="224"/>
      <c r="TQT23" s="225"/>
      <c r="TQU23" s="226"/>
      <c r="TQV23" s="227"/>
      <c r="TQW23" s="228"/>
      <c r="TQX23" s="228"/>
      <c r="TQY23" s="228"/>
      <c r="TQZ23" s="228"/>
      <c r="TRA23" s="228"/>
      <c r="TRB23" s="228"/>
      <c r="TRC23" s="226"/>
      <c r="TRD23" s="226"/>
      <c r="TRE23" s="224"/>
      <c r="TRF23" s="225"/>
      <c r="TRG23" s="226"/>
      <c r="TRH23" s="227"/>
      <c r="TRI23" s="228"/>
      <c r="TRJ23" s="228"/>
      <c r="TRK23" s="228"/>
      <c r="TRL23" s="228"/>
      <c r="TRM23" s="228"/>
      <c r="TRN23" s="228"/>
      <c r="TRO23" s="226"/>
      <c r="TRP23" s="226"/>
      <c r="TRQ23" s="224"/>
      <c r="TRR23" s="225"/>
      <c r="TRS23" s="226"/>
      <c r="TRT23" s="227"/>
      <c r="TRU23" s="228"/>
      <c r="TRV23" s="228"/>
      <c r="TRW23" s="228"/>
      <c r="TRX23" s="228"/>
      <c r="TRY23" s="228"/>
      <c r="TRZ23" s="228"/>
      <c r="TSA23" s="226"/>
      <c r="TSB23" s="226"/>
      <c r="TSC23" s="224"/>
      <c r="TSD23" s="225"/>
      <c r="TSE23" s="226"/>
      <c r="TSF23" s="227"/>
      <c r="TSG23" s="228"/>
      <c r="TSH23" s="228"/>
      <c r="TSI23" s="228"/>
      <c r="TSJ23" s="228"/>
      <c r="TSK23" s="228"/>
      <c r="TSL23" s="228"/>
      <c r="TSM23" s="226"/>
      <c r="TSN23" s="226"/>
      <c r="TSO23" s="224"/>
      <c r="TSP23" s="225"/>
      <c r="TSQ23" s="226"/>
      <c r="TSR23" s="227"/>
      <c r="TSS23" s="228"/>
      <c r="TST23" s="228"/>
      <c r="TSU23" s="228"/>
      <c r="TSV23" s="228"/>
      <c r="TSW23" s="228"/>
      <c r="TSX23" s="228"/>
      <c r="TSY23" s="226"/>
      <c r="TSZ23" s="226"/>
      <c r="TTA23" s="224"/>
      <c r="TTB23" s="225"/>
      <c r="TTC23" s="226"/>
      <c r="TTD23" s="227"/>
      <c r="TTE23" s="228"/>
      <c r="TTF23" s="228"/>
      <c r="TTG23" s="228"/>
      <c r="TTH23" s="228"/>
      <c r="TTI23" s="228"/>
      <c r="TTJ23" s="228"/>
      <c r="TTK23" s="226"/>
      <c r="TTL23" s="226"/>
      <c r="TTM23" s="224"/>
      <c r="TTN23" s="225"/>
      <c r="TTO23" s="226"/>
      <c r="TTP23" s="227"/>
      <c r="TTQ23" s="228"/>
      <c r="TTR23" s="228"/>
      <c r="TTS23" s="228"/>
      <c r="TTT23" s="228"/>
      <c r="TTU23" s="228"/>
      <c r="TTV23" s="228"/>
      <c r="TTW23" s="226"/>
      <c r="TTX23" s="226"/>
      <c r="TTY23" s="224"/>
      <c r="TTZ23" s="225"/>
      <c r="TUA23" s="226"/>
      <c r="TUB23" s="227"/>
      <c r="TUC23" s="228"/>
      <c r="TUD23" s="228"/>
      <c r="TUE23" s="228"/>
      <c r="TUF23" s="228"/>
      <c r="TUG23" s="228"/>
      <c r="TUH23" s="228"/>
      <c r="TUI23" s="226"/>
      <c r="TUJ23" s="226"/>
      <c r="TUK23" s="224"/>
      <c r="TUL23" s="225"/>
      <c r="TUM23" s="226"/>
      <c r="TUN23" s="227"/>
      <c r="TUO23" s="228"/>
      <c r="TUP23" s="228"/>
      <c r="TUQ23" s="228"/>
      <c r="TUR23" s="228"/>
      <c r="TUS23" s="228"/>
      <c r="TUT23" s="228"/>
      <c r="TUU23" s="226"/>
      <c r="TUV23" s="226"/>
      <c r="TUW23" s="224"/>
      <c r="TUX23" s="225"/>
      <c r="TUY23" s="226"/>
      <c r="TUZ23" s="227"/>
      <c r="TVA23" s="228"/>
      <c r="TVB23" s="228"/>
      <c r="TVC23" s="228"/>
      <c r="TVD23" s="228"/>
      <c r="TVE23" s="228"/>
      <c r="TVF23" s="228"/>
      <c r="TVG23" s="226"/>
      <c r="TVH23" s="226"/>
      <c r="TVI23" s="224"/>
      <c r="TVJ23" s="225"/>
      <c r="TVK23" s="226"/>
      <c r="TVL23" s="227"/>
      <c r="TVM23" s="228"/>
      <c r="TVN23" s="228"/>
      <c r="TVO23" s="228"/>
      <c r="TVP23" s="228"/>
      <c r="TVQ23" s="228"/>
      <c r="TVR23" s="228"/>
      <c r="TVS23" s="226"/>
      <c r="TVT23" s="226"/>
      <c r="TVU23" s="224"/>
      <c r="TVV23" s="225"/>
      <c r="TVW23" s="226"/>
      <c r="TVX23" s="227"/>
      <c r="TVY23" s="228"/>
      <c r="TVZ23" s="228"/>
      <c r="TWA23" s="228"/>
      <c r="TWB23" s="228"/>
      <c r="TWC23" s="228"/>
      <c r="TWD23" s="228"/>
      <c r="TWE23" s="226"/>
      <c r="TWF23" s="226"/>
      <c r="TWG23" s="224"/>
      <c r="TWH23" s="225"/>
      <c r="TWI23" s="226"/>
      <c r="TWJ23" s="227"/>
      <c r="TWK23" s="228"/>
      <c r="TWL23" s="228"/>
      <c r="TWM23" s="228"/>
      <c r="TWN23" s="228"/>
      <c r="TWO23" s="228"/>
      <c r="TWP23" s="228"/>
      <c r="TWQ23" s="226"/>
      <c r="TWR23" s="226"/>
      <c r="TWS23" s="224"/>
      <c r="TWT23" s="225"/>
      <c r="TWU23" s="226"/>
      <c r="TWV23" s="227"/>
      <c r="TWW23" s="228"/>
      <c r="TWX23" s="228"/>
      <c r="TWY23" s="228"/>
      <c r="TWZ23" s="228"/>
      <c r="TXA23" s="228"/>
      <c r="TXB23" s="228"/>
      <c r="TXC23" s="226"/>
      <c r="TXD23" s="226"/>
      <c r="TXE23" s="224"/>
      <c r="TXF23" s="225"/>
      <c r="TXG23" s="226"/>
      <c r="TXH23" s="227"/>
      <c r="TXI23" s="228"/>
      <c r="TXJ23" s="228"/>
      <c r="TXK23" s="228"/>
      <c r="TXL23" s="228"/>
      <c r="TXM23" s="228"/>
      <c r="TXN23" s="228"/>
      <c r="TXO23" s="226"/>
      <c r="TXP23" s="226"/>
      <c r="TXQ23" s="224"/>
      <c r="TXR23" s="225"/>
      <c r="TXS23" s="226"/>
      <c r="TXT23" s="227"/>
      <c r="TXU23" s="228"/>
      <c r="TXV23" s="228"/>
      <c r="TXW23" s="228"/>
      <c r="TXX23" s="228"/>
      <c r="TXY23" s="228"/>
      <c r="TXZ23" s="228"/>
      <c r="TYA23" s="226"/>
      <c r="TYB23" s="226"/>
      <c r="TYC23" s="224"/>
      <c r="TYD23" s="225"/>
      <c r="TYE23" s="226"/>
      <c r="TYF23" s="227"/>
      <c r="TYG23" s="228"/>
      <c r="TYH23" s="228"/>
      <c r="TYI23" s="228"/>
      <c r="TYJ23" s="228"/>
      <c r="TYK23" s="228"/>
      <c r="TYL23" s="228"/>
      <c r="TYM23" s="226"/>
      <c r="TYN23" s="226"/>
      <c r="TYO23" s="224"/>
      <c r="TYP23" s="225"/>
      <c r="TYQ23" s="226"/>
      <c r="TYR23" s="227"/>
      <c r="TYS23" s="228"/>
      <c r="TYT23" s="228"/>
      <c r="TYU23" s="228"/>
      <c r="TYV23" s="228"/>
      <c r="TYW23" s="228"/>
      <c r="TYX23" s="228"/>
      <c r="TYY23" s="226"/>
      <c r="TYZ23" s="226"/>
      <c r="TZA23" s="224"/>
      <c r="TZB23" s="225"/>
      <c r="TZC23" s="226"/>
      <c r="TZD23" s="227"/>
      <c r="TZE23" s="228"/>
      <c r="TZF23" s="228"/>
      <c r="TZG23" s="228"/>
      <c r="TZH23" s="228"/>
      <c r="TZI23" s="228"/>
      <c r="TZJ23" s="228"/>
      <c r="TZK23" s="226"/>
      <c r="TZL23" s="226"/>
      <c r="TZM23" s="224"/>
      <c r="TZN23" s="225"/>
      <c r="TZO23" s="226"/>
      <c r="TZP23" s="227"/>
      <c r="TZQ23" s="228"/>
      <c r="TZR23" s="228"/>
      <c r="TZS23" s="228"/>
      <c r="TZT23" s="228"/>
      <c r="TZU23" s="228"/>
      <c r="TZV23" s="228"/>
      <c r="TZW23" s="226"/>
      <c r="TZX23" s="226"/>
      <c r="TZY23" s="224"/>
      <c r="TZZ23" s="225"/>
      <c r="UAA23" s="226"/>
      <c r="UAB23" s="227"/>
      <c r="UAC23" s="228"/>
      <c r="UAD23" s="228"/>
      <c r="UAE23" s="228"/>
      <c r="UAF23" s="228"/>
      <c r="UAG23" s="228"/>
      <c r="UAH23" s="228"/>
      <c r="UAI23" s="226"/>
      <c r="UAJ23" s="226"/>
      <c r="UAK23" s="224"/>
      <c r="UAL23" s="225"/>
      <c r="UAM23" s="226"/>
      <c r="UAN23" s="227"/>
      <c r="UAO23" s="228"/>
      <c r="UAP23" s="228"/>
      <c r="UAQ23" s="228"/>
      <c r="UAR23" s="228"/>
      <c r="UAS23" s="228"/>
      <c r="UAT23" s="228"/>
      <c r="UAU23" s="226"/>
      <c r="UAV23" s="226"/>
      <c r="UAW23" s="224"/>
      <c r="UAX23" s="225"/>
      <c r="UAY23" s="226"/>
      <c r="UAZ23" s="227"/>
      <c r="UBA23" s="228"/>
      <c r="UBB23" s="228"/>
      <c r="UBC23" s="228"/>
      <c r="UBD23" s="228"/>
      <c r="UBE23" s="228"/>
      <c r="UBF23" s="228"/>
      <c r="UBG23" s="226"/>
      <c r="UBH23" s="226"/>
      <c r="UBI23" s="224"/>
      <c r="UBJ23" s="225"/>
      <c r="UBK23" s="226"/>
      <c r="UBL23" s="227"/>
      <c r="UBM23" s="228"/>
      <c r="UBN23" s="228"/>
      <c r="UBO23" s="228"/>
      <c r="UBP23" s="228"/>
      <c r="UBQ23" s="228"/>
      <c r="UBR23" s="228"/>
      <c r="UBS23" s="226"/>
      <c r="UBT23" s="226"/>
      <c r="UBU23" s="224"/>
      <c r="UBV23" s="225"/>
      <c r="UBW23" s="226"/>
      <c r="UBX23" s="227"/>
      <c r="UBY23" s="228"/>
      <c r="UBZ23" s="228"/>
      <c r="UCA23" s="228"/>
      <c r="UCB23" s="228"/>
      <c r="UCC23" s="228"/>
      <c r="UCD23" s="228"/>
      <c r="UCE23" s="226"/>
      <c r="UCF23" s="226"/>
      <c r="UCG23" s="224"/>
      <c r="UCH23" s="225"/>
      <c r="UCI23" s="226"/>
      <c r="UCJ23" s="227"/>
      <c r="UCK23" s="228"/>
      <c r="UCL23" s="228"/>
      <c r="UCM23" s="228"/>
      <c r="UCN23" s="228"/>
      <c r="UCO23" s="228"/>
      <c r="UCP23" s="228"/>
      <c r="UCQ23" s="226"/>
      <c r="UCR23" s="226"/>
      <c r="UCS23" s="224"/>
      <c r="UCT23" s="225"/>
      <c r="UCU23" s="226"/>
      <c r="UCV23" s="227"/>
      <c r="UCW23" s="228"/>
      <c r="UCX23" s="228"/>
      <c r="UCY23" s="228"/>
      <c r="UCZ23" s="228"/>
      <c r="UDA23" s="228"/>
      <c r="UDB23" s="228"/>
      <c r="UDC23" s="226"/>
      <c r="UDD23" s="226"/>
      <c r="UDE23" s="224"/>
      <c r="UDF23" s="225"/>
      <c r="UDG23" s="226"/>
      <c r="UDH23" s="227"/>
      <c r="UDI23" s="228"/>
      <c r="UDJ23" s="228"/>
      <c r="UDK23" s="228"/>
      <c r="UDL23" s="228"/>
      <c r="UDM23" s="228"/>
      <c r="UDN23" s="228"/>
      <c r="UDO23" s="226"/>
      <c r="UDP23" s="226"/>
      <c r="UDQ23" s="224"/>
      <c r="UDR23" s="225"/>
      <c r="UDS23" s="226"/>
      <c r="UDT23" s="227"/>
      <c r="UDU23" s="228"/>
      <c r="UDV23" s="228"/>
      <c r="UDW23" s="228"/>
      <c r="UDX23" s="228"/>
      <c r="UDY23" s="228"/>
      <c r="UDZ23" s="228"/>
      <c r="UEA23" s="226"/>
      <c r="UEB23" s="226"/>
      <c r="UEC23" s="224"/>
      <c r="UED23" s="225"/>
      <c r="UEE23" s="226"/>
      <c r="UEF23" s="227"/>
      <c r="UEG23" s="228"/>
      <c r="UEH23" s="228"/>
      <c r="UEI23" s="228"/>
      <c r="UEJ23" s="228"/>
      <c r="UEK23" s="228"/>
      <c r="UEL23" s="228"/>
      <c r="UEM23" s="226"/>
      <c r="UEN23" s="226"/>
      <c r="UEO23" s="224"/>
      <c r="UEP23" s="225"/>
      <c r="UEQ23" s="226"/>
      <c r="UER23" s="227"/>
      <c r="UES23" s="228"/>
      <c r="UET23" s="228"/>
      <c r="UEU23" s="228"/>
      <c r="UEV23" s="228"/>
      <c r="UEW23" s="228"/>
      <c r="UEX23" s="228"/>
      <c r="UEY23" s="226"/>
      <c r="UEZ23" s="226"/>
      <c r="UFA23" s="224"/>
      <c r="UFB23" s="225"/>
      <c r="UFC23" s="226"/>
      <c r="UFD23" s="227"/>
      <c r="UFE23" s="228"/>
      <c r="UFF23" s="228"/>
      <c r="UFG23" s="228"/>
      <c r="UFH23" s="228"/>
      <c r="UFI23" s="228"/>
      <c r="UFJ23" s="228"/>
      <c r="UFK23" s="226"/>
      <c r="UFL23" s="226"/>
      <c r="UFM23" s="224"/>
      <c r="UFN23" s="225"/>
      <c r="UFO23" s="226"/>
      <c r="UFP23" s="227"/>
      <c r="UFQ23" s="228"/>
      <c r="UFR23" s="228"/>
      <c r="UFS23" s="228"/>
      <c r="UFT23" s="228"/>
      <c r="UFU23" s="228"/>
      <c r="UFV23" s="228"/>
      <c r="UFW23" s="226"/>
      <c r="UFX23" s="226"/>
      <c r="UFY23" s="224"/>
      <c r="UFZ23" s="225"/>
      <c r="UGA23" s="226"/>
      <c r="UGB23" s="227"/>
      <c r="UGC23" s="228"/>
      <c r="UGD23" s="228"/>
      <c r="UGE23" s="228"/>
      <c r="UGF23" s="228"/>
      <c r="UGG23" s="228"/>
      <c r="UGH23" s="228"/>
      <c r="UGI23" s="226"/>
      <c r="UGJ23" s="226"/>
      <c r="UGK23" s="224"/>
      <c r="UGL23" s="225"/>
      <c r="UGM23" s="226"/>
      <c r="UGN23" s="227"/>
      <c r="UGO23" s="228"/>
      <c r="UGP23" s="228"/>
      <c r="UGQ23" s="228"/>
      <c r="UGR23" s="228"/>
      <c r="UGS23" s="228"/>
      <c r="UGT23" s="228"/>
      <c r="UGU23" s="226"/>
      <c r="UGV23" s="226"/>
      <c r="UGW23" s="224"/>
      <c r="UGX23" s="225"/>
      <c r="UGY23" s="226"/>
      <c r="UGZ23" s="227"/>
      <c r="UHA23" s="228"/>
      <c r="UHB23" s="228"/>
      <c r="UHC23" s="228"/>
      <c r="UHD23" s="228"/>
      <c r="UHE23" s="228"/>
      <c r="UHF23" s="228"/>
      <c r="UHG23" s="226"/>
      <c r="UHH23" s="226"/>
      <c r="UHI23" s="224"/>
      <c r="UHJ23" s="225"/>
      <c r="UHK23" s="226"/>
      <c r="UHL23" s="227"/>
      <c r="UHM23" s="228"/>
      <c r="UHN23" s="228"/>
      <c r="UHO23" s="228"/>
      <c r="UHP23" s="228"/>
      <c r="UHQ23" s="228"/>
      <c r="UHR23" s="228"/>
      <c r="UHS23" s="226"/>
      <c r="UHT23" s="226"/>
      <c r="UHU23" s="224"/>
      <c r="UHV23" s="225"/>
      <c r="UHW23" s="226"/>
      <c r="UHX23" s="227"/>
      <c r="UHY23" s="228"/>
      <c r="UHZ23" s="228"/>
      <c r="UIA23" s="228"/>
      <c r="UIB23" s="228"/>
      <c r="UIC23" s="228"/>
      <c r="UID23" s="228"/>
      <c r="UIE23" s="226"/>
      <c r="UIF23" s="226"/>
      <c r="UIG23" s="224"/>
      <c r="UIH23" s="225"/>
      <c r="UII23" s="226"/>
      <c r="UIJ23" s="227"/>
      <c r="UIK23" s="228"/>
      <c r="UIL23" s="228"/>
      <c r="UIM23" s="228"/>
      <c r="UIN23" s="228"/>
      <c r="UIO23" s="228"/>
      <c r="UIP23" s="228"/>
      <c r="UIQ23" s="226"/>
      <c r="UIR23" s="226"/>
      <c r="UIS23" s="224"/>
      <c r="UIT23" s="225"/>
      <c r="UIU23" s="226"/>
      <c r="UIV23" s="227"/>
      <c r="UIW23" s="228"/>
      <c r="UIX23" s="228"/>
      <c r="UIY23" s="228"/>
      <c r="UIZ23" s="228"/>
      <c r="UJA23" s="228"/>
      <c r="UJB23" s="228"/>
      <c r="UJC23" s="226"/>
      <c r="UJD23" s="226"/>
      <c r="UJE23" s="224"/>
      <c r="UJF23" s="225"/>
      <c r="UJG23" s="226"/>
      <c r="UJH23" s="227"/>
      <c r="UJI23" s="228"/>
      <c r="UJJ23" s="228"/>
      <c r="UJK23" s="228"/>
      <c r="UJL23" s="228"/>
      <c r="UJM23" s="228"/>
      <c r="UJN23" s="228"/>
      <c r="UJO23" s="226"/>
      <c r="UJP23" s="226"/>
      <c r="UJQ23" s="224"/>
      <c r="UJR23" s="225"/>
      <c r="UJS23" s="226"/>
      <c r="UJT23" s="227"/>
      <c r="UJU23" s="228"/>
      <c r="UJV23" s="228"/>
      <c r="UJW23" s="228"/>
      <c r="UJX23" s="228"/>
      <c r="UJY23" s="228"/>
      <c r="UJZ23" s="228"/>
      <c r="UKA23" s="226"/>
      <c r="UKB23" s="226"/>
      <c r="UKC23" s="224"/>
      <c r="UKD23" s="225"/>
      <c r="UKE23" s="226"/>
      <c r="UKF23" s="227"/>
      <c r="UKG23" s="228"/>
      <c r="UKH23" s="228"/>
      <c r="UKI23" s="228"/>
      <c r="UKJ23" s="228"/>
      <c r="UKK23" s="228"/>
      <c r="UKL23" s="228"/>
      <c r="UKM23" s="226"/>
      <c r="UKN23" s="226"/>
      <c r="UKO23" s="224"/>
      <c r="UKP23" s="225"/>
      <c r="UKQ23" s="226"/>
      <c r="UKR23" s="227"/>
      <c r="UKS23" s="228"/>
      <c r="UKT23" s="228"/>
      <c r="UKU23" s="228"/>
      <c r="UKV23" s="228"/>
      <c r="UKW23" s="228"/>
      <c r="UKX23" s="228"/>
      <c r="UKY23" s="226"/>
      <c r="UKZ23" s="226"/>
      <c r="ULA23" s="224"/>
      <c r="ULB23" s="225"/>
      <c r="ULC23" s="226"/>
      <c r="ULD23" s="227"/>
      <c r="ULE23" s="228"/>
      <c r="ULF23" s="228"/>
      <c r="ULG23" s="228"/>
      <c r="ULH23" s="228"/>
      <c r="ULI23" s="228"/>
      <c r="ULJ23" s="228"/>
      <c r="ULK23" s="226"/>
      <c r="ULL23" s="226"/>
      <c r="ULM23" s="224"/>
      <c r="ULN23" s="225"/>
      <c r="ULO23" s="226"/>
      <c r="ULP23" s="227"/>
      <c r="ULQ23" s="228"/>
      <c r="ULR23" s="228"/>
      <c r="ULS23" s="228"/>
      <c r="ULT23" s="228"/>
      <c r="ULU23" s="228"/>
      <c r="ULV23" s="228"/>
      <c r="ULW23" s="226"/>
      <c r="ULX23" s="226"/>
      <c r="ULY23" s="224"/>
      <c r="ULZ23" s="225"/>
      <c r="UMA23" s="226"/>
      <c r="UMB23" s="227"/>
      <c r="UMC23" s="228"/>
      <c r="UMD23" s="228"/>
      <c r="UME23" s="228"/>
      <c r="UMF23" s="228"/>
      <c r="UMG23" s="228"/>
      <c r="UMH23" s="228"/>
      <c r="UMI23" s="226"/>
      <c r="UMJ23" s="226"/>
      <c r="UMK23" s="224"/>
      <c r="UML23" s="225"/>
      <c r="UMM23" s="226"/>
      <c r="UMN23" s="227"/>
      <c r="UMO23" s="228"/>
      <c r="UMP23" s="228"/>
      <c r="UMQ23" s="228"/>
      <c r="UMR23" s="228"/>
      <c r="UMS23" s="228"/>
      <c r="UMT23" s="228"/>
      <c r="UMU23" s="226"/>
      <c r="UMV23" s="226"/>
      <c r="UMW23" s="224"/>
      <c r="UMX23" s="225"/>
      <c r="UMY23" s="226"/>
      <c r="UMZ23" s="227"/>
      <c r="UNA23" s="228"/>
      <c r="UNB23" s="228"/>
      <c r="UNC23" s="228"/>
      <c r="UND23" s="228"/>
      <c r="UNE23" s="228"/>
      <c r="UNF23" s="228"/>
      <c r="UNG23" s="226"/>
      <c r="UNH23" s="226"/>
      <c r="UNI23" s="224"/>
      <c r="UNJ23" s="225"/>
      <c r="UNK23" s="226"/>
      <c r="UNL23" s="227"/>
      <c r="UNM23" s="228"/>
      <c r="UNN23" s="228"/>
      <c r="UNO23" s="228"/>
      <c r="UNP23" s="228"/>
      <c r="UNQ23" s="228"/>
      <c r="UNR23" s="228"/>
      <c r="UNS23" s="226"/>
      <c r="UNT23" s="226"/>
      <c r="UNU23" s="224"/>
      <c r="UNV23" s="225"/>
      <c r="UNW23" s="226"/>
      <c r="UNX23" s="227"/>
      <c r="UNY23" s="228"/>
      <c r="UNZ23" s="228"/>
      <c r="UOA23" s="228"/>
      <c r="UOB23" s="228"/>
      <c r="UOC23" s="228"/>
      <c r="UOD23" s="228"/>
      <c r="UOE23" s="226"/>
      <c r="UOF23" s="226"/>
      <c r="UOG23" s="224"/>
      <c r="UOH23" s="225"/>
      <c r="UOI23" s="226"/>
      <c r="UOJ23" s="227"/>
      <c r="UOK23" s="228"/>
      <c r="UOL23" s="228"/>
      <c r="UOM23" s="228"/>
      <c r="UON23" s="228"/>
      <c r="UOO23" s="228"/>
      <c r="UOP23" s="228"/>
      <c r="UOQ23" s="226"/>
      <c r="UOR23" s="226"/>
      <c r="UOS23" s="224"/>
      <c r="UOT23" s="225"/>
      <c r="UOU23" s="226"/>
      <c r="UOV23" s="227"/>
      <c r="UOW23" s="228"/>
      <c r="UOX23" s="228"/>
      <c r="UOY23" s="228"/>
      <c r="UOZ23" s="228"/>
      <c r="UPA23" s="228"/>
      <c r="UPB23" s="228"/>
      <c r="UPC23" s="226"/>
      <c r="UPD23" s="226"/>
      <c r="UPE23" s="224"/>
      <c r="UPF23" s="225"/>
      <c r="UPG23" s="226"/>
      <c r="UPH23" s="227"/>
      <c r="UPI23" s="228"/>
      <c r="UPJ23" s="228"/>
      <c r="UPK23" s="228"/>
      <c r="UPL23" s="228"/>
      <c r="UPM23" s="228"/>
      <c r="UPN23" s="228"/>
      <c r="UPO23" s="226"/>
      <c r="UPP23" s="226"/>
      <c r="UPQ23" s="224"/>
      <c r="UPR23" s="225"/>
      <c r="UPS23" s="226"/>
      <c r="UPT23" s="227"/>
      <c r="UPU23" s="228"/>
      <c r="UPV23" s="228"/>
      <c r="UPW23" s="228"/>
      <c r="UPX23" s="228"/>
      <c r="UPY23" s="228"/>
      <c r="UPZ23" s="228"/>
      <c r="UQA23" s="226"/>
      <c r="UQB23" s="226"/>
      <c r="UQC23" s="224"/>
      <c r="UQD23" s="225"/>
      <c r="UQE23" s="226"/>
      <c r="UQF23" s="227"/>
      <c r="UQG23" s="228"/>
      <c r="UQH23" s="228"/>
      <c r="UQI23" s="228"/>
      <c r="UQJ23" s="228"/>
      <c r="UQK23" s="228"/>
      <c r="UQL23" s="228"/>
      <c r="UQM23" s="226"/>
      <c r="UQN23" s="226"/>
      <c r="UQO23" s="224"/>
      <c r="UQP23" s="225"/>
      <c r="UQQ23" s="226"/>
      <c r="UQR23" s="227"/>
      <c r="UQS23" s="228"/>
      <c r="UQT23" s="228"/>
      <c r="UQU23" s="228"/>
      <c r="UQV23" s="228"/>
      <c r="UQW23" s="228"/>
      <c r="UQX23" s="228"/>
      <c r="UQY23" s="226"/>
      <c r="UQZ23" s="226"/>
      <c r="URA23" s="224"/>
      <c r="URB23" s="225"/>
      <c r="URC23" s="226"/>
      <c r="URD23" s="227"/>
      <c r="URE23" s="228"/>
      <c r="URF23" s="228"/>
      <c r="URG23" s="228"/>
      <c r="URH23" s="228"/>
      <c r="URI23" s="228"/>
      <c r="URJ23" s="228"/>
      <c r="URK23" s="226"/>
      <c r="URL23" s="226"/>
      <c r="URM23" s="224"/>
      <c r="URN23" s="225"/>
      <c r="URO23" s="226"/>
      <c r="URP23" s="227"/>
      <c r="URQ23" s="228"/>
      <c r="URR23" s="228"/>
      <c r="URS23" s="228"/>
      <c r="URT23" s="228"/>
      <c r="URU23" s="228"/>
      <c r="URV23" s="228"/>
      <c r="URW23" s="226"/>
      <c r="URX23" s="226"/>
      <c r="URY23" s="224"/>
      <c r="URZ23" s="225"/>
      <c r="USA23" s="226"/>
      <c r="USB23" s="227"/>
      <c r="USC23" s="228"/>
      <c r="USD23" s="228"/>
      <c r="USE23" s="228"/>
      <c r="USF23" s="228"/>
      <c r="USG23" s="228"/>
      <c r="USH23" s="228"/>
      <c r="USI23" s="226"/>
      <c r="USJ23" s="226"/>
      <c r="USK23" s="224"/>
      <c r="USL23" s="225"/>
      <c r="USM23" s="226"/>
      <c r="USN23" s="227"/>
      <c r="USO23" s="228"/>
      <c r="USP23" s="228"/>
      <c r="USQ23" s="228"/>
      <c r="USR23" s="228"/>
      <c r="USS23" s="228"/>
      <c r="UST23" s="228"/>
      <c r="USU23" s="226"/>
      <c r="USV23" s="226"/>
      <c r="USW23" s="224"/>
      <c r="USX23" s="225"/>
      <c r="USY23" s="226"/>
      <c r="USZ23" s="227"/>
      <c r="UTA23" s="228"/>
      <c r="UTB23" s="228"/>
      <c r="UTC23" s="228"/>
      <c r="UTD23" s="228"/>
      <c r="UTE23" s="228"/>
      <c r="UTF23" s="228"/>
      <c r="UTG23" s="226"/>
      <c r="UTH23" s="226"/>
      <c r="UTI23" s="224"/>
      <c r="UTJ23" s="225"/>
      <c r="UTK23" s="226"/>
      <c r="UTL23" s="227"/>
      <c r="UTM23" s="228"/>
      <c r="UTN23" s="228"/>
      <c r="UTO23" s="228"/>
      <c r="UTP23" s="228"/>
      <c r="UTQ23" s="228"/>
      <c r="UTR23" s="228"/>
      <c r="UTS23" s="226"/>
      <c r="UTT23" s="226"/>
      <c r="UTU23" s="224"/>
      <c r="UTV23" s="225"/>
      <c r="UTW23" s="226"/>
      <c r="UTX23" s="227"/>
      <c r="UTY23" s="228"/>
      <c r="UTZ23" s="228"/>
      <c r="UUA23" s="228"/>
      <c r="UUB23" s="228"/>
      <c r="UUC23" s="228"/>
      <c r="UUD23" s="228"/>
      <c r="UUE23" s="226"/>
      <c r="UUF23" s="226"/>
      <c r="UUG23" s="224"/>
      <c r="UUH23" s="225"/>
      <c r="UUI23" s="226"/>
      <c r="UUJ23" s="227"/>
      <c r="UUK23" s="228"/>
      <c r="UUL23" s="228"/>
      <c r="UUM23" s="228"/>
      <c r="UUN23" s="228"/>
      <c r="UUO23" s="228"/>
      <c r="UUP23" s="228"/>
      <c r="UUQ23" s="226"/>
      <c r="UUR23" s="226"/>
      <c r="UUS23" s="224"/>
      <c r="UUT23" s="225"/>
      <c r="UUU23" s="226"/>
      <c r="UUV23" s="227"/>
      <c r="UUW23" s="228"/>
      <c r="UUX23" s="228"/>
      <c r="UUY23" s="228"/>
      <c r="UUZ23" s="228"/>
      <c r="UVA23" s="228"/>
      <c r="UVB23" s="228"/>
      <c r="UVC23" s="226"/>
      <c r="UVD23" s="226"/>
      <c r="UVE23" s="224"/>
      <c r="UVF23" s="225"/>
      <c r="UVG23" s="226"/>
      <c r="UVH23" s="227"/>
      <c r="UVI23" s="228"/>
      <c r="UVJ23" s="228"/>
      <c r="UVK23" s="228"/>
      <c r="UVL23" s="228"/>
      <c r="UVM23" s="228"/>
      <c r="UVN23" s="228"/>
      <c r="UVO23" s="226"/>
      <c r="UVP23" s="226"/>
      <c r="UVQ23" s="224"/>
      <c r="UVR23" s="225"/>
      <c r="UVS23" s="226"/>
      <c r="UVT23" s="227"/>
      <c r="UVU23" s="228"/>
      <c r="UVV23" s="228"/>
      <c r="UVW23" s="228"/>
      <c r="UVX23" s="228"/>
      <c r="UVY23" s="228"/>
      <c r="UVZ23" s="228"/>
      <c r="UWA23" s="226"/>
      <c r="UWB23" s="226"/>
      <c r="UWC23" s="224"/>
      <c r="UWD23" s="225"/>
      <c r="UWE23" s="226"/>
      <c r="UWF23" s="227"/>
      <c r="UWG23" s="228"/>
      <c r="UWH23" s="228"/>
      <c r="UWI23" s="228"/>
      <c r="UWJ23" s="228"/>
      <c r="UWK23" s="228"/>
      <c r="UWL23" s="228"/>
      <c r="UWM23" s="226"/>
      <c r="UWN23" s="226"/>
      <c r="UWO23" s="224"/>
      <c r="UWP23" s="225"/>
      <c r="UWQ23" s="226"/>
      <c r="UWR23" s="227"/>
      <c r="UWS23" s="228"/>
      <c r="UWT23" s="228"/>
      <c r="UWU23" s="228"/>
      <c r="UWV23" s="228"/>
      <c r="UWW23" s="228"/>
      <c r="UWX23" s="228"/>
      <c r="UWY23" s="226"/>
      <c r="UWZ23" s="226"/>
      <c r="UXA23" s="224"/>
      <c r="UXB23" s="225"/>
      <c r="UXC23" s="226"/>
      <c r="UXD23" s="227"/>
      <c r="UXE23" s="228"/>
      <c r="UXF23" s="228"/>
      <c r="UXG23" s="228"/>
      <c r="UXH23" s="228"/>
      <c r="UXI23" s="228"/>
      <c r="UXJ23" s="228"/>
      <c r="UXK23" s="226"/>
      <c r="UXL23" s="226"/>
      <c r="UXM23" s="224"/>
      <c r="UXN23" s="225"/>
      <c r="UXO23" s="226"/>
      <c r="UXP23" s="227"/>
      <c r="UXQ23" s="228"/>
      <c r="UXR23" s="228"/>
      <c r="UXS23" s="228"/>
      <c r="UXT23" s="228"/>
      <c r="UXU23" s="228"/>
      <c r="UXV23" s="228"/>
      <c r="UXW23" s="226"/>
      <c r="UXX23" s="226"/>
      <c r="UXY23" s="224"/>
      <c r="UXZ23" s="225"/>
      <c r="UYA23" s="226"/>
      <c r="UYB23" s="227"/>
      <c r="UYC23" s="228"/>
      <c r="UYD23" s="228"/>
      <c r="UYE23" s="228"/>
      <c r="UYF23" s="228"/>
      <c r="UYG23" s="228"/>
      <c r="UYH23" s="228"/>
      <c r="UYI23" s="226"/>
      <c r="UYJ23" s="226"/>
      <c r="UYK23" s="224"/>
      <c r="UYL23" s="225"/>
      <c r="UYM23" s="226"/>
      <c r="UYN23" s="227"/>
      <c r="UYO23" s="228"/>
      <c r="UYP23" s="228"/>
      <c r="UYQ23" s="228"/>
      <c r="UYR23" s="228"/>
      <c r="UYS23" s="228"/>
      <c r="UYT23" s="228"/>
      <c r="UYU23" s="226"/>
      <c r="UYV23" s="226"/>
      <c r="UYW23" s="224"/>
      <c r="UYX23" s="225"/>
      <c r="UYY23" s="226"/>
      <c r="UYZ23" s="227"/>
      <c r="UZA23" s="228"/>
      <c r="UZB23" s="228"/>
      <c r="UZC23" s="228"/>
      <c r="UZD23" s="228"/>
      <c r="UZE23" s="228"/>
      <c r="UZF23" s="228"/>
      <c r="UZG23" s="226"/>
      <c r="UZH23" s="226"/>
      <c r="UZI23" s="224"/>
      <c r="UZJ23" s="225"/>
      <c r="UZK23" s="226"/>
      <c r="UZL23" s="227"/>
      <c r="UZM23" s="228"/>
      <c r="UZN23" s="228"/>
      <c r="UZO23" s="228"/>
      <c r="UZP23" s="228"/>
      <c r="UZQ23" s="228"/>
      <c r="UZR23" s="228"/>
      <c r="UZS23" s="226"/>
      <c r="UZT23" s="226"/>
      <c r="UZU23" s="224"/>
      <c r="UZV23" s="225"/>
      <c r="UZW23" s="226"/>
      <c r="UZX23" s="227"/>
      <c r="UZY23" s="228"/>
      <c r="UZZ23" s="228"/>
      <c r="VAA23" s="228"/>
      <c r="VAB23" s="228"/>
      <c r="VAC23" s="228"/>
      <c r="VAD23" s="228"/>
      <c r="VAE23" s="226"/>
      <c r="VAF23" s="226"/>
      <c r="VAG23" s="224"/>
      <c r="VAH23" s="225"/>
      <c r="VAI23" s="226"/>
      <c r="VAJ23" s="227"/>
      <c r="VAK23" s="228"/>
      <c r="VAL23" s="228"/>
      <c r="VAM23" s="228"/>
      <c r="VAN23" s="228"/>
      <c r="VAO23" s="228"/>
      <c r="VAP23" s="228"/>
      <c r="VAQ23" s="226"/>
      <c r="VAR23" s="226"/>
      <c r="VAS23" s="224"/>
      <c r="VAT23" s="225"/>
      <c r="VAU23" s="226"/>
      <c r="VAV23" s="227"/>
      <c r="VAW23" s="228"/>
      <c r="VAX23" s="228"/>
      <c r="VAY23" s="228"/>
      <c r="VAZ23" s="228"/>
      <c r="VBA23" s="228"/>
      <c r="VBB23" s="228"/>
      <c r="VBC23" s="226"/>
      <c r="VBD23" s="226"/>
      <c r="VBE23" s="224"/>
      <c r="VBF23" s="225"/>
      <c r="VBG23" s="226"/>
      <c r="VBH23" s="227"/>
      <c r="VBI23" s="228"/>
      <c r="VBJ23" s="228"/>
      <c r="VBK23" s="228"/>
      <c r="VBL23" s="228"/>
      <c r="VBM23" s="228"/>
      <c r="VBN23" s="228"/>
      <c r="VBO23" s="226"/>
      <c r="VBP23" s="226"/>
      <c r="VBQ23" s="224"/>
      <c r="VBR23" s="225"/>
      <c r="VBS23" s="226"/>
      <c r="VBT23" s="227"/>
      <c r="VBU23" s="228"/>
      <c r="VBV23" s="228"/>
      <c r="VBW23" s="228"/>
      <c r="VBX23" s="228"/>
      <c r="VBY23" s="228"/>
      <c r="VBZ23" s="228"/>
      <c r="VCA23" s="226"/>
      <c r="VCB23" s="226"/>
      <c r="VCC23" s="224"/>
      <c r="VCD23" s="225"/>
      <c r="VCE23" s="226"/>
      <c r="VCF23" s="227"/>
      <c r="VCG23" s="228"/>
      <c r="VCH23" s="228"/>
      <c r="VCI23" s="228"/>
      <c r="VCJ23" s="228"/>
      <c r="VCK23" s="228"/>
      <c r="VCL23" s="228"/>
      <c r="VCM23" s="226"/>
      <c r="VCN23" s="226"/>
      <c r="VCO23" s="224"/>
      <c r="VCP23" s="225"/>
      <c r="VCQ23" s="226"/>
      <c r="VCR23" s="227"/>
      <c r="VCS23" s="228"/>
      <c r="VCT23" s="228"/>
      <c r="VCU23" s="228"/>
      <c r="VCV23" s="228"/>
      <c r="VCW23" s="228"/>
      <c r="VCX23" s="228"/>
      <c r="VCY23" s="226"/>
      <c r="VCZ23" s="226"/>
      <c r="VDA23" s="224"/>
      <c r="VDB23" s="225"/>
      <c r="VDC23" s="226"/>
      <c r="VDD23" s="227"/>
      <c r="VDE23" s="228"/>
      <c r="VDF23" s="228"/>
      <c r="VDG23" s="228"/>
      <c r="VDH23" s="228"/>
      <c r="VDI23" s="228"/>
      <c r="VDJ23" s="228"/>
      <c r="VDK23" s="226"/>
      <c r="VDL23" s="226"/>
      <c r="VDM23" s="224"/>
      <c r="VDN23" s="225"/>
      <c r="VDO23" s="226"/>
      <c r="VDP23" s="227"/>
      <c r="VDQ23" s="228"/>
      <c r="VDR23" s="228"/>
      <c r="VDS23" s="228"/>
      <c r="VDT23" s="228"/>
      <c r="VDU23" s="228"/>
      <c r="VDV23" s="228"/>
      <c r="VDW23" s="226"/>
      <c r="VDX23" s="226"/>
      <c r="VDY23" s="224"/>
      <c r="VDZ23" s="225"/>
      <c r="VEA23" s="226"/>
      <c r="VEB23" s="227"/>
      <c r="VEC23" s="228"/>
      <c r="VED23" s="228"/>
      <c r="VEE23" s="228"/>
      <c r="VEF23" s="228"/>
      <c r="VEG23" s="228"/>
      <c r="VEH23" s="228"/>
      <c r="VEI23" s="226"/>
      <c r="VEJ23" s="226"/>
      <c r="VEK23" s="224"/>
      <c r="VEL23" s="225"/>
      <c r="VEM23" s="226"/>
      <c r="VEN23" s="227"/>
      <c r="VEO23" s="228"/>
      <c r="VEP23" s="228"/>
      <c r="VEQ23" s="228"/>
      <c r="VER23" s="228"/>
      <c r="VES23" s="228"/>
      <c r="VET23" s="228"/>
      <c r="VEU23" s="226"/>
      <c r="VEV23" s="226"/>
      <c r="VEW23" s="224"/>
      <c r="VEX23" s="225"/>
      <c r="VEY23" s="226"/>
      <c r="VEZ23" s="227"/>
      <c r="VFA23" s="228"/>
      <c r="VFB23" s="228"/>
      <c r="VFC23" s="228"/>
      <c r="VFD23" s="228"/>
      <c r="VFE23" s="228"/>
      <c r="VFF23" s="228"/>
      <c r="VFG23" s="226"/>
      <c r="VFH23" s="226"/>
      <c r="VFI23" s="224"/>
      <c r="VFJ23" s="225"/>
      <c r="VFK23" s="226"/>
      <c r="VFL23" s="227"/>
      <c r="VFM23" s="228"/>
      <c r="VFN23" s="228"/>
      <c r="VFO23" s="228"/>
      <c r="VFP23" s="228"/>
      <c r="VFQ23" s="228"/>
      <c r="VFR23" s="228"/>
      <c r="VFS23" s="226"/>
      <c r="VFT23" s="226"/>
      <c r="VFU23" s="224"/>
      <c r="VFV23" s="225"/>
      <c r="VFW23" s="226"/>
      <c r="VFX23" s="227"/>
      <c r="VFY23" s="228"/>
      <c r="VFZ23" s="228"/>
      <c r="VGA23" s="228"/>
      <c r="VGB23" s="228"/>
      <c r="VGC23" s="228"/>
      <c r="VGD23" s="228"/>
      <c r="VGE23" s="226"/>
      <c r="VGF23" s="226"/>
      <c r="VGG23" s="224"/>
      <c r="VGH23" s="225"/>
      <c r="VGI23" s="226"/>
      <c r="VGJ23" s="227"/>
      <c r="VGK23" s="228"/>
      <c r="VGL23" s="228"/>
      <c r="VGM23" s="228"/>
      <c r="VGN23" s="228"/>
      <c r="VGO23" s="228"/>
      <c r="VGP23" s="228"/>
      <c r="VGQ23" s="226"/>
      <c r="VGR23" s="226"/>
      <c r="VGS23" s="224"/>
      <c r="VGT23" s="225"/>
      <c r="VGU23" s="226"/>
      <c r="VGV23" s="227"/>
      <c r="VGW23" s="228"/>
      <c r="VGX23" s="228"/>
      <c r="VGY23" s="228"/>
      <c r="VGZ23" s="228"/>
      <c r="VHA23" s="228"/>
      <c r="VHB23" s="228"/>
      <c r="VHC23" s="226"/>
      <c r="VHD23" s="226"/>
      <c r="VHE23" s="224"/>
      <c r="VHF23" s="225"/>
      <c r="VHG23" s="226"/>
      <c r="VHH23" s="227"/>
      <c r="VHI23" s="228"/>
      <c r="VHJ23" s="228"/>
      <c r="VHK23" s="228"/>
      <c r="VHL23" s="228"/>
      <c r="VHM23" s="228"/>
      <c r="VHN23" s="228"/>
      <c r="VHO23" s="226"/>
      <c r="VHP23" s="226"/>
      <c r="VHQ23" s="224"/>
      <c r="VHR23" s="225"/>
      <c r="VHS23" s="226"/>
      <c r="VHT23" s="227"/>
      <c r="VHU23" s="228"/>
      <c r="VHV23" s="228"/>
      <c r="VHW23" s="228"/>
      <c r="VHX23" s="228"/>
      <c r="VHY23" s="228"/>
      <c r="VHZ23" s="228"/>
      <c r="VIA23" s="226"/>
      <c r="VIB23" s="226"/>
      <c r="VIC23" s="224"/>
      <c r="VID23" s="225"/>
      <c r="VIE23" s="226"/>
      <c r="VIF23" s="227"/>
      <c r="VIG23" s="228"/>
      <c r="VIH23" s="228"/>
      <c r="VII23" s="228"/>
      <c r="VIJ23" s="228"/>
      <c r="VIK23" s="228"/>
      <c r="VIL23" s="228"/>
      <c r="VIM23" s="226"/>
      <c r="VIN23" s="226"/>
      <c r="VIO23" s="224"/>
      <c r="VIP23" s="225"/>
      <c r="VIQ23" s="226"/>
      <c r="VIR23" s="227"/>
      <c r="VIS23" s="228"/>
      <c r="VIT23" s="228"/>
      <c r="VIU23" s="228"/>
      <c r="VIV23" s="228"/>
      <c r="VIW23" s="228"/>
      <c r="VIX23" s="228"/>
      <c r="VIY23" s="226"/>
      <c r="VIZ23" s="226"/>
      <c r="VJA23" s="224"/>
      <c r="VJB23" s="225"/>
      <c r="VJC23" s="226"/>
      <c r="VJD23" s="227"/>
      <c r="VJE23" s="228"/>
      <c r="VJF23" s="228"/>
      <c r="VJG23" s="228"/>
      <c r="VJH23" s="228"/>
      <c r="VJI23" s="228"/>
      <c r="VJJ23" s="228"/>
      <c r="VJK23" s="226"/>
      <c r="VJL23" s="226"/>
      <c r="VJM23" s="224"/>
      <c r="VJN23" s="225"/>
      <c r="VJO23" s="226"/>
      <c r="VJP23" s="227"/>
      <c r="VJQ23" s="228"/>
      <c r="VJR23" s="228"/>
      <c r="VJS23" s="228"/>
      <c r="VJT23" s="228"/>
      <c r="VJU23" s="228"/>
      <c r="VJV23" s="228"/>
      <c r="VJW23" s="226"/>
      <c r="VJX23" s="226"/>
      <c r="VJY23" s="224"/>
      <c r="VJZ23" s="225"/>
      <c r="VKA23" s="226"/>
      <c r="VKB23" s="227"/>
      <c r="VKC23" s="228"/>
      <c r="VKD23" s="228"/>
      <c r="VKE23" s="228"/>
      <c r="VKF23" s="228"/>
      <c r="VKG23" s="228"/>
      <c r="VKH23" s="228"/>
      <c r="VKI23" s="226"/>
      <c r="VKJ23" s="226"/>
      <c r="VKK23" s="224"/>
      <c r="VKL23" s="225"/>
      <c r="VKM23" s="226"/>
      <c r="VKN23" s="227"/>
      <c r="VKO23" s="228"/>
      <c r="VKP23" s="228"/>
      <c r="VKQ23" s="228"/>
      <c r="VKR23" s="228"/>
      <c r="VKS23" s="228"/>
      <c r="VKT23" s="228"/>
      <c r="VKU23" s="226"/>
      <c r="VKV23" s="226"/>
      <c r="VKW23" s="224"/>
      <c r="VKX23" s="225"/>
      <c r="VKY23" s="226"/>
      <c r="VKZ23" s="227"/>
      <c r="VLA23" s="228"/>
      <c r="VLB23" s="228"/>
      <c r="VLC23" s="228"/>
      <c r="VLD23" s="228"/>
      <c r="VLE23" s="228"/>
      <c r="VLF23" s="228"/>
      <c r="VLG23" s="226"/>
      <c r="VLH23" s="226"/>
      <c r="VLI23" s="224"/>
      <c r="VLJ23" s="225"/>
      <c r="VLK23" s="226"/>
      <c r="VLL23" s="227"/>
      <c r="VLM23" s="228"/>
      <c r="VLN23" s="228"/>
      <c r="VLO23" s="228"/>
      <c r="VLP23" s="228"/>
      <c r="VLQ23" s="228"/>
      <c r="VLR23" s="228"/>
      <c r="VLS23" s="226"/>
      <c r="VLT23" s="226"/>
      <c r="VLU23" s="224"/>
      <c r="VLV23" s="225"/>
      <c r="VLW23" s="226"/>
      <c r="VLX23" s="227"/>
      <c r="VLY23" s="228"/>
      <c r="VLZ23" s="228"/>
      <c r="VMA23" s="228"/>
      <c r="VMB23" s="228"/>
      <c r="VMC23" s="228"/>
      <c r="VMD23" s="228"/>
      <c r="VME23" s="226"/>
      <c r="VMF23" s="226"/>
      <c r="VMG23" s="224"/>
      <c r="VMH23" s="225"/>
      <c r="VMI23" s="226"/>
      <c r="VMJ23" s="227"/>
      <c r="VMK23" s="228"/>
      <c r="VML23" s="228"/>
      <c r="VMM23" s="228"/>
      <c r="VMN23" s="228"/>
      <c r="VMO23" s="228"/>
      <c r="VMP23" s="228"/>
      <c r="VMQ23" s="226"/>
      <c r="VMR23" s="226"/>
      <c r="VMS23" s="224"/>
      <c r="VMT23" s="225"/>
      <c r="VMU23" s="226"/>
      <c r="VMV23" s="227"/>
      <c r="VMW23" s="228"/>
      <c r="VMX23" s="228"/>
      <c r="VMY23" s="228"/>
      <c r="VMZ23" s="228"/>
      <c r="VNA23" s="228"/>
      <c r="VNB23" s="228"/>
      <c r="VNC23" s="226"/>
      <c r="VND23" s="226"/>
      <c r="VNE23" s="224"/>
      <c r="VNF23" s="225"/>
      <c r="VNG23" s="226"/>
      <c r="VNH23" s="227"/>
      <c r="VNI23" s="228"/>
      <c r="VNJ23" s="228"/>
      <c r="VNK23" s="228"/>
      <c r="VNL23" s="228"/>
      <c r="VNM23" s="228"/>
      <c r="VNN23" s="228"/>
      <c r="VNO23" s="226"/>
      <c r="VNP23" s="226"/>
      <c r="VNQ23" s="224"/>
      <c r="VNR23" s="225"/>
      <c r="VNS23" s="226"/>
      <c r="VNT23" s="227"/>
      <c r="VNU23" s="228"/>
      <c r="VNV23" s="228"/>
      <c r="VNW23" s="228"/>
      <c r="VNX23" s="228"/>
      <c r="VNY23" s="228"/>
      <c r="VNZ23" s="228"/>
      <c r="VOA23" s="226"/>
      <c r="VOB23" s="226"/>
      <c r="VOC23" s="224"/>
      <c r="VOD23" s="225"/>
      <c r="VOE23" s="226"/>
      <c r="VOF23" s="227"/>
      <c r="VOG23" s="228"/>
      <c r="VOH23" s="228"/>
      <c r="VOI23" s="228"/>
      <c r="VOJ23" s="228"/>
      <c r="VOK23" s="228"/>
      <c r="VOL23" s="228"/>
      <c r="VOM23" s="226"/>
      <c r="VON23" s="226"/>
      <c r="VOO23" s="224"/>
      <c r="VOP23" s="225"/>
      <c r="VOQ23" s="226"/>
      <c r="VOR23" s="227"/>
      <c r="VOS23" s="228"/>
      <c r="VOT23" s="228"/>
      <c r="VOU23" s="228"/>
      <c r="VOV23" s="228"/>
      <c r="VOW23" s="228"/>
      <c r="VOX23" s="228"/>
      <c r="VOY23" s="226"/>
      <c r="VOZ23" s="226"/>
      <c r="VPA23" s="224"/>
      <c r="VPB23" s="225"/>
      <c r="VPC23" s="226"/>
      <c r="VPD23" s="227"/>
      <c r="VPE23" s="228"/>
      <c r="VPF23" s="228"/>
      <c r="VPG23" s="228"/>
      <c r="VPH23" s="228"/>
      <c r="VPI23" s="228"/>
      <c r="VPJ23" s="228"/>
      <c r="VPK23" s="226"/>
      <c r="VPL23" s="226"/>
      <c r="VPM23" s="224"/>
      <c r="VPN23" s="225"/>
      <c r="VPO23" s="226"/>
      <c r="VPP23" s="227"/>
      <c r="VPQ23" s="228"/>
      <c r="VPR23" s="228"/>
      <c r="VPS23" s="228"/>
      <c r="VPT23" s="228"/>
      <c r="VPU23" s="228"/>
      <c r="VPV23" s="228"/>
      <c r="VPW23" s="226"/>
      <c r="VPX23" s="226"/>
      <c r="VPY23" s="224"/>
      <c r="VPZ23" s="225"/>
      <c r="VQA23" s="226"/>
      <c r="VQB23" s="227"/>
      <c r="VQC23" s="228"/>
      <c r="VQD23" s="228"/>
      <c r="VQE23" s="228"/>
      <c r="VQF23" s="228"/>
      <c r="VQG23" s="228"/>
      <c r="VQH23" s="228"/>
      <c r="VQI23" s="226"/>
      <c r="VQJ23" s="226"/>
      <c r="VQK23" s="224"/>
      <c r="VQL23" s="225"/>
      <c r="VQM23" s="226"/>
      <c r="VQN23" s="227"/>
      <c r="VQO23" s="228"/>
      <c r="VQP23" s="228"/>
      <c r="VQQ23" s="228"/>
      <c r="VQR23" s="228"/>
      <c r="VQS23" s="228"/>
      <c r="VQT23" s="228"/>
      <c r="VQU23" s="226"/>
      <c r="VQV23" s="226"/>
      <c r="VQW23" s="224"/>
      <c r="VQX23" s="225"/>
      <c r="VQY23" s="226"/>
      <c r="VQZ23" s="227"/>
      <c r="VRA23" s="228"/>
      <c r="VRB23" s="228"/>
      <c r="VRC23" s="228"/>
      <c r="VRD23" s="228"/>
      <c r="VRE23" s="228"/>
      <c r="VRF23" s="228"/>
      <c r="VRG23" s="226"/>
      <c r="VRH23" s="226"/>
      <c r="VRI23" s="224"/>
      <c r="VRJ23" s="225"/>
      <c r="VRK23" s="226"/>
      <c r="VRL23" s="227"/>
      <c r="VRM23" s="228"/>
      <c r="VRN23" s="228"/>
      <c r="VRO23" s="228"/>
      <c r="VRP23" s="228"/>
      <c r="VRQ23" s="228"/>
      <c r="VRR23" s="228"/>
      <c r="VRS23" s="226"/>
      <c r="VRT23" s="226"/>
      <c r="VRU23" s="224"/>
      <c r="VRV23" s="225"/>
      <c r="VRW23" s="226"/>
      <c r="VRX23" s="227"/>
      <c r="VRY23" s="228"/>
      <c r="VRZ23" s="228"/>
      <c r="VSA23" s="228"/>
      <c r="VSB23" s="228"/>
      <c r="VSC23" s="228"/>
      <c r="VSD23" s="228"/>
      <c r="VSE23" s="226"/>
      <c r="VSF23" s="226"/>
      <c r="VSG23" s="224"/>
      <c r="VSH23" s="225"/>
      <c r="VSI23" s="226"/>
      <c r="VSJ23" s="227"/>
      <c r="VSK23" s="228"/>
      <c r="VSL23" s="228"/>
      <c r="VSM23" s="228"/>
      <c r="VSN23" s="228"/>
      <c r="VSO23" s="228"/>
      <c r="VSP23" s="228"/>
      <c r="VSQ23" s="226"/>
      <c r="VSR23" s="226"/>
      <c r="VSS23" s="224"/>
      <c r="VST23" s="225"/>
      <c r="VSU23" s="226"/>
      <c r="VSV23" s="227"/>
      <c r="VSW23" s="228"/>
      <c r="VSX23" s="228"/>
      <c r="VSY23" s="228"/>
      <c r="VSZ23" s="228"/>
      <c r="VTA23" s="228"/>
      <c r="VTB23" s="228"/>
      <c r="VTC23" s="226"/>
      <c r="VTD23" s="226"/>
      <c r="VTE23" s="224"/>
      <c r="VTF23" s="225"/>
      <c r="VTG23" s="226"/>
      <c r="VTH23" s="227"/>
      <c r="VTI23" s="228"/>
      <c r="VTJ23" s="228"/>
      <c r="VTK23" s="228"/>
      <c r="VTL23" s="228"/>
      <c r="VTM23" s="228"/>
      <c r="VTN23" s="228"/>
      <c r="VTO23" s="226"/>
      <c r="VTP23" s="226"/>
      <c r="VTQ23" s="224"/>
      <c r="VTR23" s="225"/>
      <c r="VTS23" s="226"/>
      <c r="VTT23" s="227"/>
      <c r="VTU23" s="228"/>
      <c r="VTV23" s="228"/>
      <c r="VTW23" s="228"/>
      <c r="VTX23" s="228"/>
      <c r="VTY23" s="228"/>
      <c r="VTZ23" s="228"/>
      <c r="VUA23" s="226"/>
      <c r="VUB23" s="226"/>
      <c r="VUC23" s="224"/>
      <c r="VUD23" s="225"/>
      <c r="VUE23" s="226"/>
      <c r="VUF23" s="227"/>
      <c r="VUG23" s="228"/>
      <c r="VUH23" s="228"/>
      <c r="VUI23" s="228"/>
      <c r="VUJ23" s="228"/>
      <c r="VUK23" s="228"/>
      <c r="VUL23" s="228"/>
      <c r="VUM23" s="226"/>
      <c r="VUN23" s="226"/>
      <c r="VUO23" s="224"/>
      <c r="VUP23" s="225"/>
      <c r="VUQ23" s="226"/>
      <c r="VUR23" s="227"/>
      <c r="VUS23" s="228"/>
      <c r="VUT23" s="228"/>
      <c r="VUU23" s="228"/>
      <c r="VUV23" s="228"/>
      <c r="VUW23" s="228"/>
      <c r="VUX23" s="228"/>
      <c r="VUY23" s="226"/>
      <c r="VUZ23" s="226"/>
      <c r="VVA23" s="224"/>
      <c r="VVB23" s="225"/>
      <c r="VVC23" s="226"/>
      <c r="VVD23" s="227"/>
      <c r="VVE23" s="228"/>
      <c r="VVF23" s="228"/>
      <c r="VVG23" s="228"/>
      <c r="VVH23" s="228"/>
      <c r="VVI23" s="228"/>
      <c r="VVJ23" s="228"/>
      <c r="VVK23" s="226"/>
      <c r="VVL23" s="226"/>
      <c r="VVM23" s="224"/>
      <c r="VVN23" s="225"/>
      <c r="VVO23" s="226"/>
      <c r="VVP23" s="227"/>
      <c r="VVQ23" s="228"/>
      <c r="VVR23" s="228"/>
      <c r="VVS23" s="228"/>
      <c r="VVT23" s="228"/>
      <c r="VVU23" s="228"/>
      <c r="VVV23" s="228"/>
      <c r="VVW23" s="226"/>
      <c r="VVX23" s="226"/>
      <c r="VVY23" s="224"/>
      <c r="VVZ23" s="225"/>
      <c r="VWA23" s="226"/>
      <c r="VWB23" s="227"/>
      <c r="VWC23" s="228"/>
      <c r="VWD23" s="228"/>
      <c r="VWE23" s="228"/>
      <c r="VWF23" s="228"/>
      <c r="VWG23" s="228"/>
      <c r="VWH23" s="228"/>
      <c r="VWI23" s="226"/>
      <c r="VWJ23" s="226"/>
      <c r="VWK23" s="224"/>
      <c r="VWL23" s="225"/>
      <c r="VWM23" s="226"/>
      <c r="VWN23" s="227"/>
      <c r="VWO23" s="228"/>
      <c r="VWP23" s="228"/>
      <c r="VWQ23" s="228"/>
      <c r="VWR23" s="228"/>
      <c r="VWS23" s="228"/>
      <c r="VWT23" s="228"/>
      <c r="VWU23" s="226"/>
      <c r="VWV23" s="226"/>
      <c r="VWW23" s="224"/>
      <c r="VWX23" s="225"/>
      <c r="VWY23" s="226"/>
      <c r="VWZ23" s="227"/>
      <c r="VXA23" s="228"/>
      <c r="VXB23" s="228"/>
      <c r="VXC23" s="228"/>
      <c r="VXD23" s="228"/>
      <c r="VXE23" s="228"/>
      <c r="VXF23" s="228"/>
      <c r="VXG23" s="226"/>
      <c r="VXH23" s="226"/>
      <c r="VXI23" s="224"/>
      <c r="VXJ23" s="225"/>
      <c r="VXK23" s="226"/>
      <c r="VXL23" s="227"/>
      <c r="VXM23" s="228"/>
      <c r="VXN23" s="228"/>
      <c r="VXO23" s="228"/>
      <c r="VXP23" s="228"/>
      <c r="VXQ23" s="228"/>
      <c r="VXR23" s="228"/>
      <c r="VXS23" s="226"/>
      <c r="VXT23" s="226"/>
      <c r="VXU23" s="224"/>
      <c r="VXV23" s="225"/>
      <c r="VXW23" s="226"/>
      <c r="VXX23" s="227"/>
      <c r="VXY23" s="228"/>
      <c r="VXZ23" s="228"/>
      <c r="VYA23" s="228"/>
      <c r="VYB23" s="228"/>
      <c r="VYC23" s="228"/>
      <c r="VYD23" s="228"/>
      <c r="VYE23" s="226"/>
      <c r="VYF23" s="226"/>
      <c r="VYG23" s="224"/>
      <c r="VYH23" s="225"/>
      <c r="VYI23" s="226"/>
      <c r="VYJ23" s="227"/>
      <c r="VYK23" s="228"/>
      <c r="VYL23" s="228"/>
      <c r="VYM23" s="228"/>
      <c r="VYN23" s="228"/>
      <c r="VYO23" s="228"/>
      <c r="VYP23" s="228"/>
      <c r="VYQ23" s="226"/>
      <c r="VYR23" s="226"/>
      <c r="VYS23" s="224"/>
      <c r="VYT23" s="225"/>
      <c r="VYU23" s="226"/>
      <c r="VYV23" s="227"/>
      <c r="VYW23" s="228"/>
      <c r="VYX23" s="228"/>
      <c r="VYY23" s="228"/>
      <c r="VYZ23" s="228"/>
      <c r="VZA23" s="228"/>
      <c r="VZB23" s="228"/>
      <c r="VZC23" s="226"/>
      <c r="VZD23" s="226"/>
      <c r="VZE23" s="224"/>
      <c r="VZF23" s="225"/>
      <c r="VZG23" s="226"/>
      <c r="VZH23" s="227"/>
      <c r="VZI23" s="228"/>
      <c r="VZJ23" s="228"/>
      <c r="VZK23" s="228"/>
      <c r="VZL23" s="228"/>
      <c r="VZM23" s="228"/>
      <c r="VZN23" s="228"/>
      <c r="VZO23" s="226"/>
      <c r="VZP23" s="226"/>
      <c r="VZQ23" s="224"/>
      <c r="VZR23" s="225"/>
      <c r="VZS23" s="226"/>
      <c r="VZT23" s="227"/>
      <c r="VZU23" s="228"/>
      <c r="VZV23" s="228"/>
      <c r="VZW23" s="228"/>
      <c r="VZX23" s="228"/>
      <c r="VZY23" s="228"/>
      <c r="VZZ23" s="228"/>
      <c r="WAA23" s="226"/>
      <c r="WAB23" s="226"/>
      <c r="WAC23" s="224"/>
      <c r="WAD23" s="225"/>
      <c r="WAE23" s="226"/>
      <c r="WAF23" s="227"/>
      <c r="WAG23" s="228"/>
      <c r="WAH23" s="228"/>
      <c r="WAI23" s="228"/>
      <c r="WAJ23" s="228"/>
      <c r="WAK23" s="228"/>
      <c r="WAL23" s="228"/>
      <c r="WAM23" s="226"/>
      <c r="WAN23" s="226"/>
      <c r="WAO23" s="224"/>
      <c r="WAP23" s="225"/>
      <c r="WAQ23" s="226"/>
      <c r="WAR23" s="227"/>
      <c r="WAS23" s="228"/>
      <c r="WAT23" s="228"/>
      <c r="WAU23" s="228"/>
      <c r="WAV23" s="228"/>
      <c r="WAW23" s="228"/>
      <c r="WAX23" s="228"/>
      <c r="WAY23" s="226"/>
      <c r="WAZ23" s="226"/>
      <c r="WBA23" s="224"/>
      <c r="WBB23" s="225"/>
      <c r="WBC23" s="226"/>
      <c r="WBD23" s="227"/>
      <c r="WBE23" s="228"/>
      <c r="WBF23" s="228"/>
      <c r="WBG23" s="228"/>
      <c r="WBH23" s="228"/>
      <c r="WBI23" s="228"/>
      <c r="WBJ23" s="228"/>
      <c r="WBK23" s="226"/>
      <c r="WBL23" s="226"/>
      <c r="WBM23" s="224"/>
      <c r="WBN23" s="225"/>
      <c r="WBO23" s="226"/>
      <c r="WBP23" s="227"/>
      <c r="WBQ23" s="228"/>
      <c r="WBR23" s="228"/>
      <c r="WBS23" s="228"/>
      <c r="WBT23" s="228"/>
      <c r="WBU23" s="228"/>
      <c r="WBV23" s="228"/>
      <c r="WBW23" s="226"/>
      <c r="WBX23" s="226"/>
      <c r="WBY23" s="224"/>
      <c r="WBZ23" s="225"/>
      <c r="WCA23" s="226"/>
      <c r="WCB23" s="227"/>
      <c r="WCC23" s="228"/>
      <c r="WCD23" s="228"/>
      <c r="WCE23" s="228"/>
      <c r="WCF23" s="228"/>
      <c r="WCG23" s="228"/>
      <c r="WCH23" s="228"/>
      <c r="WCI23" s="226"/>
      <c r="WCJ23" s="226"/>
      <c r="WCK23" s="224"/>
      <c r="WCL23" s="225"/>
      <c r="WCM23" s="226"/>
      <c r="WCN23" s="227"/>
      <c r="WCO23" s="228"/>
      <c r="WCP23" s="228"/>
      <c r="WCQ23" s="228"/>
      <c r="WCR23" s="228"/>
      <c r="WCS23" s="228"/>
      <c r="WCT23" s="228"/>
      <c r="WCU23" s="226"/>
      <c r="WCV23" s="226"/>
      <c r="WCW23" s="224"/>
      <c r="WCX23" s="225"/>
      <c r="WCY23" s="226"/>
      <c r="WCZ23" s="227"/>
      <c r="WDA23" s="228"/>
      <c r="WDB23" s="228"/>
      <c r="WDC23" s="228"/>
      <c r="WDD23" s="228"/>
      <c r="WDE23" s="228"/>
      <c r="WDF23" s="228"/>
      <c r="WDG23" s="226"/>
      <c r="WDH23" s="226"/>
      <c r="WDI23" s="224"/>
      <c r="WDJ23" s="225"/>
      <c r="WDK23" s="226"/>
      <c r="WDL23" s="227"/>
      <c r="WDM23" s="228"/>
      <c r="WDN23" s="228"/>
      <c r="WDO23" s="228"/>
      <c r="WDP23" s="228"/>
      <c r="WDQ23" s="228"/>
      <c r="WDR23" s="228"/>
      <c r="WDS23" s="226"/>
      <c r="WDT23" s="226"/>
      <c r="WDU23" s="224"/>
      <c r="WDV23" s="225"/>
      <c r="WDW23" s="226"/>
      <c r="WDX23" s="227"/>
      <c r="WDY23" s="228"/>
      <c r="WDZ23" s="228"/>
      <c r="WEA23" s="228"/>
      <c r="WEB23" s="228"/>
      <c r="WEC23" s="228"/>
      <c r="WED23" s="228"/>
      <c r="WEE23" s="226"/>
      <c r="WEF23" s="226"/>
      <c r="WEG23" s="224"/>
      <c r="WEH23" s="225"/>
      <c r="WEI23" s="226"/>
      <c r="WEJ23" s="227"/>
      <c r="WEK23" s="228"/>
      <c r="WEL23" s="228"/>
      <c r="WEM23" s="228"/>
      <c r="WEN23" s="228"/>
      <c r="WEO23" s="228"/>
      <c r="WEP23" s="228"/>
      <c r="WEQ23" s="226"/>
      <c r="WER23" s="226"/>
      <c r="WES23" s="224"/>
      <c r="WET23" s="225"/>
      <c r="WEU23" s="226"/>
      <c r="WEV23" s="227"/>
      <c r="WEW23" s="228"/>
      <c r="WEX23" s="228"/>
      <c r="WEY23" s="228"/>
      <c r="WEZ23" s="228"/>
      <c r="WFA23" s="228"/>
      <c r="WFB23" s="228"/>
      <c r="WFC23" s="226"/>
      <c r="WFD23" s="226"/>
      <c r="WFE23" s="224"/>
      <c r="WFF23" s="225"/>
      <c r="WFG23" s="226"/>
      <c r="WFH23" s="227"/>
      <c r="WFI23" s="228"/>
      <c r="WFJ23" s="228"/>
      <c r="WFK23" s="228"/>
      <c r="WFL23" s="228"/>
      <c r="WFM23" s="228"/>
      <c r="WFN23" s="228"/>
      <c r="WFO23" s="226"/>
      <c r="WFP23" s="226"/>
      <c r="WFQ23" s="224"/>
      <c r="WFR23" s="225"/>
      <c r="WFS23" s="226"/>
      <c r="WFT23" s="227"/>
      <c r="WFU23" s="228"/>
      <c r="WFV23" s="228"/>
      <c r="WFW23" s="228"/>
      <c r="WFX23" s="228"/>
      <c r="WFY23" s="228"/>
      <c r="WFZ23" s="228"/>
      <c r="WGA23" s="226"/>
      <c r="WGB23" s="226"/>
      <c r="WGC23" s="224"/>
      <c r="WGD23" s="225"/>
      <c r="WGE23" s="226"/>
      <c r="WGF23" s="227"/>
      <c r="WGG23" s="228"/>
      <c r="WGH23" s="228"/>
      <c r="WGI23" s="228"/>
      <c r="WGJ23" s="228"/>
      <c r="WGK23" s="228"/>
      <c r="WGL23" s="228"/>
      <c r="WGM23" s="226"/>
      <c r="WGN23" s="226"/>
      <c r="WGO23" s="224"/>
      <c r="WGP23" s="225"/>
      <c r="WGQ23" s="226"/>
      <c r="WGR23" s="227"/>
      <c r="WGS23" s="228"/>
      <c r="WGT23" s="228"/>
      <c r="WGU23" s="228"/>
      <c r="WGV23" s="228"/>
      <c r="WGW23" s="228"/>
      <c r="WGX23" s="228"/>
      <c r="WGY23" s="226"/>
      <c r="WGZ23" s="226"/>
      <c r="WHA23" s="224"/>
      <c r="WHB23" s="225"/>
      <c r="WHC23" s="226"/>
      <c r="WHD23" s="227"/>
      <c r="WHE23" s="228"/>
      <c r="WHF23" s="228"/>
      <c r="WHG23" s="228"/>
      <c r="WHH23" s="228"/>
      <c r="WHI23" s="228"/>
      <c r="WHJ23" s="228"/>
      <c r="WHK23" s="226"/>
      <c r="WHL23" s="226"/>
      <c r="WHM23" s="224"/>
      <c r="WHN23" s="225"/>
      <c r="WHO23" s="226"/>
      <c r="WHP23" s="227"/>
      <c r="WHQ23" s="228"/>
      <c r="WHR23" s="228"/>
      <c r="WHS23" s="228"/>
      <c r="WHT23" s="228"/>
      <c r="WHU23" s="228"/>
      <c r="WHV23" s="228"/>
      <c r="WHW23" s="226"/>
      <c r="WHX23" s="226"/>
      <c r="WHY23" s="224"/>
      <c r="WHZ23" s="225"/>
      <c r="WIA23" s="226"/>
      <c r="WIB23" s="227"/>
      <c r="WIC23" s="228"/>
      <c r="WID23" s="228"/>
      <c r="WIE23" s="228"/>
      <c r="WIF23" s="228"/>
      <c r="WIG23" s="228"/>
      <c r="WIH23" s="228"/>
      <c r="WII23" s="226"/>
      <c r="WIJ23" s="226"/>
      <c r="WIK23" s="224"/>
      <c r="WIL23" s="225"/>
      <c r="WIM23" s="226"/>
      <c r="WIN23" s="227"/>
      <c r="WIO23" s="228"/>
      <c r="WIP23" s="228"/>
      <c r="WIQ23" s="228"/>
      <c r="WIR23" s="228"/>
      <c r="WIS23" s="228"/>
      <c r="WIT23" s="228"/>
      <c r="WIU23" s="226"/>
      <c r="WIV23" s="226"/>
      <c r="WIW23" s="224"/>
      <c r="WIX23" s="225"/>
      <c r="WIY23" s="226"/>
      <c r="WIZ23" s="227"/>
      <c r="WJA23" s="228"/>
      <c r="WJB23" s="228"/>
      <c r="WJC23" s="228"/>
      <c r="WJD23" s="228"/>
      <c r="WJE23" s="228"/>
      <c r="WJF23" s="228"/>
      <c r="WJG23" s="226"/>
      <c r="WJH23" s="226"/>
      <c r="WJI23" s="224"/>
      <c r="WJJ23" s="225"/>
      <c r="WJK23" s="226"/>
      <c r="WJL23" s="227"/>
      <c r="WJM23" s="228"/>
      <c r="WJN23" s="228"/>
      <c r="WJO23" s="228"/>
      <c r="WJP23" s="228"/>
      <c r="WJQ23" s="228"/>
      <c r="WJR23" s="228"/>
      <c r="WJS23" s="226"/>
      <c r="WJT23" s="226"/>
      <c r="WJU23" s="224"/>
      <c r="WJV23" s="225"/>
      <c r="WJW23" s="226"/>
      <c r="WJX23" s="227"/>
      <c r="WJY23" s="228"/>
      <c r="WJZ23" s="228"/>
      <c r="WKA23" s="228"/>
      <c r="WKB23" s="228"/>
      <c r="WKC23" s="228"/>
      <c r="WKD23" s="228"/>
      <c r="WKE23" s="226"/>
      <c r="WKF23" s="226"/>
      <c r="WKG23" s="224"/>
      <c r="WKH23" s="225"/>
      <c r="WKI23" s="226"/>
      <c r="WKJ23" s="227"/>
      <c r="WKK23" s="228"/>
      <c r="WKL23" s="228"/>
      <c r="WKM23" s="228"/>
      <c r="WKN23" s="228"/>
      <c r="WKO23" s="228"/>
      <c r="WKP23" s="228"/>
      <c r="WKQ23" s="226"/>
      <c r="WKR23" s="226"/>
      <c r="WKS23" s="224"/>
      <c r="WKT23" s="225"/>
      <c r="WKU23" s="226"/>
      <c r="WKV23" s="227"/>
      <c r="WKW23" s="228"/>
      <c r="WKX23" s="228"/>
      <c r="WKY23" s="228"/>
      <c r="WKZ23" s="228"/>
      <c r="WLA23" s="228"/>
      <c r="WLB23" s="228"/>
      <c r="WLC23" s="226"/>
      <c r="WLD23" s="226"/>
      <c r="WLE23" s="224"/>
      <c r="WLF23" s="225"/>
      <c r="WLG23" s="226"/>
      <c r="WLH23" s="227"/>
      <c r="WLI23" s="228"/>
      <c r="WLJ23" s="228"/>
      <c r="WLK23" s="228"/>
      <c r="WLL23" s="228"/>
      <c r="WLM23" s="228"/>
      <c r="WLN23" s="228"/>
      <c r="WLO23" s="226"/>
      <c r="WLP23" s="226"/>
      <c r="WLQ23" s="224"/>
      <c r="WLR23" s="225"/>
      <c r="WLS23" s="226"/>
      <c r="WLT23" s="227"/>
      <c r="WLU23" s="228"/>
      <c r="WLV23" s="228"/>
      <c r="WLW23" s="228"/>
      <c r="WLX23" s="228"/>
      <c r="WLY23" s="228"/>
      <c r="WLZ23" s="228"/>
      <c r="WMA23" s="226"/>
      <c r="WMB23" s="226"/>
      <c r="WMC23" s="224"/>
      <c r="WMD23" s="225"/>
      <c r="WME23" s="226"/>
      <c r="WMF23" s="227"/>
      <c r="WMG23" s="228"/>
      <c r="WMH23" s="228"/>
      <c r="WMI23" s="228"/>
      <c r="WMJ23" s="228"/>
      <c r="WMK23" s="228"/>
      <c r="WML23" s="228"/>
      <c r="WMM23" s="226"/>
      <c r="WMN23" s="226"/>
      <c r="WMO23" s="224"/>
      <c r="WMP23" s="225"/>
      <c r="WMQ23" s="226"/>
      <c r="WMR23" s="227"/>
      <c r="WMS23" s="228"/>
      <c r="WMT23" s="228"/>
      <c r="WMU23" s="228"/>
      <c r="WMV23" s="228"/>
      <c r="WMW23" s="228"/>
      <c r="WMX23" s="228"/>
      <c r="WMY23" s="226"/>
      <c r="WMZ23" s="226"/>
      <c r="WNA23" s="224"/>
      <c r="WNB23" s="225"/>
      <c r="WNC23" s="226"/>
      <c r="WND23" s="227"/>
      <c r="WNE23" s="228"/>
      <c r="WNF23" s="228"/>
      <c r="WNG23" s="228"/>
      <c r="WNH23" s="228"/>
      <c r="WNI23" s="228"/>
      <c r="WNJ23" s="228"/>
      <c r="WNK23" s="226"/>
      <c r="WNL23" s="226"/>
      <c r="WNM23" s="224"/>
      <c r="WNN23" s="225"/>
      <c r="WNO23" s="226"/>
      <c r="WNP23" s="227"/>
      <c r="WNQ23" s="228"/>
      <c r="WNR23" s="228"/>
      <c r="WNS23" s="228"/>
      <c r="WNT23" s="228"/>
      <c r="WNU23" s="228"/>
      <c r="WNV23" s="228"/>
      <c r="WNW23" s="226"/>
      <c r="WNX23" s="226"/>
      <c r="WNY23" s="224"/>
      <c r="WNZ23" s="225"/>
      <c r="WOA23" s="226"/>
      <c r="WOB23" s="227"/>
      <c r="WOC23" s="228"/>
      <c r="WOD23" s="228"/>
      <c r="WOE23" s="228"/>
      <c r="WOF23" s="228"/>
      <c r="WOG23" s="228"/>
      <c r="WOH23" s="228"/>
      <c r="WOI23" s="226"/>
      <c r="WOJ23" s="226"/>
      <c r="WOK23" s="224"/>
      <c r="WOL23" s="225"/>
      <c r="WOM23" s="226"/>
      <c r="WON23" s="227"/>
      <c r="WOO23" s="228"/>
      <c r="WOP23" s="228"/>
      <c r="WOQ23" s="228"/>
      <c r="WOR23" s="228"/>
      <c r="WOS23" s="228"/>
      <c r="WOT23" s="228"/>
      <c r="WOU23" s="226"/>
      <c r="WOV23" s="226"/>
      <c r="WOW23" s="224"/>
      <c r="WOX23" s="225"/>
      <c r="WOY23" s="226"/>
      <c r="WOZ23" s="227"/>
      <c r="WPA23" s="228"/>
      <c r="WPB23" s="228"/>
      <c r="WPC23" s="228"/>
      <c r="WPD23" s="228"/>
      <c r="WPE23" s="228"/>
      <c r="WPF23" s="228"/>
      <c r="WPG23" s="226"/>
      <c r="WPH23" s="226"/>
      <c r="WPI23" s="224"/>
      <c r="WPJ23" s="225"/>
      <c r="WPK23" s="226"/>
      <c r="WPL23" s="227"/>
      <c r="WPM23" s="228"/>
      <c r="WPN23" s="228"/>
      <c r="WPO23" s="228"/>
      <c r="WPP23" s="228"/>
      <c r="WPQ23" s="228"/>
      <c r="WPR23" s="228"/>
      <c r="WPS23" s="226"/>
      <c r="WPT23" s="226"/>
      <c r="WPU23" s="224"/>
      <c r="WPV23" s="225"/>
      <c r="WPW23" s="226"/>
      <c r="WPX23" s="227"/>
      <c r="WPY23" s="228"/>
      <c r="WPZ23" s="228"/>
      <c r="WQA23" s="228"/>
      <c r="WQB23" s="228"/>
      <c r="WQC23" s="228"/>
      <c r="WQD23" s="228"/>
      <c r="WQE23" s="226"/>
      <c r="WQF23" s="226"/>
      <c r="WQG23" s="224"/>
      <c r="WQH23" s="225"/>
      <c r="WQI23" s="226"/>
      <c r="WQJ23" s="227"/>
      <c r="WQK23" s="228"/>
      <c r="WQL23" s="228"/>
      <c r="WQM23" s="228"/>
      <c r="WQN23" s="228"/>
      <c r="WQO23" s="228"/>
      <c r="WQP23" s="228"/>
      <c r="WQQ23" s="226"/>
      <c r="WQR23" s="226"/>
      <c r="WQS23" s="224"/>
      <c r="WQT23" s="225"/>
      <c r="WQU23" s="226"/>
      <c r="WQV23" s="227"/>
      <c r="WQW23" s="228"/>
      <c r="WQX23" s="228"/>
      <c r="WQY23" s="228"/>
      <c r="WQZ23" s="228"/>
      <c r="WRA23" s="228"/>
      <c r="WRB23" s="228"/>
      <c r="WRC23" s="226"/>
      <c r="WRD23" s="226"/>
      <c r="WRE23" s="224"/>
      <c r="WRF23" s="225"/>
      <c r="WRG23" s="226"/>
      <c r="WRH23" s="227"/>
      <c r="WRI23" s="228"/>
      <c r="WRJ23" s="228"/>
      <c r="WRK23" s="228"/>
      <c r="WRL23" s="228"/>
      <c r="WRM23" s="228"/>
      <c r="WRN23" s="228"/>
      <c r="WRO23" s="226"/>
      <c r="WRP23" s="226"/>
      <c r="WRQ23" s="224"/>
      <c r="WRR23" s="225"/>
      <c r="WRS23" s="226"/>
      <c r="WRT23" s="227"/>
      <c r="WRU23" s="228"/>
      <c r="WRV23" s="228"/>
      <c r="WRW23" s="228"/>
      <c r="WRX23" s="228"/>
      <c r="WRY23" s="228"/>
      <c r="WRZ23" s="228"/>
      <c r="WSA23" s="226"/>
      <c r="WSB23" s="226"/>
      <c r="WSC23" s="224"/>
      <c r="WSD23" s="225"/>
      <c r="WSE23" s="226"/>
      <c r="WSF23" s="227"/>
      <c r="WSG23" s="228"/>
      <c r="WSH23" s="228"/>
      <c r="WSI23" s="228"/>
      <c r="WSJ23" s="228"/>
      <c r="WSK23" s="228"/>
      <c r="WSL23" s="228"/>
      <c r="WSM23" s="226"/>
      <c r="WSN23" s="226"/>
      <c r="WSO23" s="224"/>
      <c r="WSP23" s="225"/>
      <c r="WSQ23" s="226"/>
      <c r="WSR23" s="227"/>
      <c r="WSS23" s="228"/>
      <c r="WST23" s="228"/>
      <c r="WSU23" s="228"/>
      <c r="WSV23" s="228"/>
      <c r="WSW23" s="228"/>
      <c r="WSX23" s="228"/>
      <c r="WSY23" s="226"/>
      <c r="WSZ23" s="226"/>
      <c r="WTA23" s="224"/>
      <c r="WTB23" s="225"/>
      <c r="WTC23" s="226"/>
      <c r="WTD23" s="227"/>
      <c r="WTE23" s="228"/>
      <c r="WTF23" s="228"/>
      <c r="WTG23" s="228"/>
      <c r="WTH23" s="228"/>
      <c r="WTI23" s="228"/>
      <c r="WTJ23" s="228"/>
      <c r="WTK23" s="226"/>
      <c r="WTL23" s="226"/>
      <c r="WTM23" s="224"/>
      <c r="WTN23" s="225"/>
      <c r="WTO23" s="226"/>
      <c r="WTP23" s="227"/>
      <c r="WTQ23" s="228"/>
      <c r="WTR23" s="228"/>
      <c r="WTS23" s="228"/>
      <c r="WTT23" s="228"/>
      <c r="WTU23" s="228"/>
      <c r="WTV23" s="228"/>
      <c r="WTW23" s="226"/>
      <c r="WTX23" s="226"/>
      <c r="WTY23" s="224"/>
      <c r="WTZ23" s="225"/>
      <c r="WUA23" s="226"/>
      <c r="WUB23" s="227"/>
      <c r="WUC23" s="228"/>
      <c r="WUD23" s="228"/>
      <c r="WUE23" s="228"/>
      <c r="WUF23" s="228"/>
      <c r="WUG23" s="228"/>
      <c r="WUH23" s="228"/>
      <c r="WUI23" s="226"/>
      <c r="WUJ23" s="226"/>
      <c r="WUK23" s="224"/>
      <c r="WUL23" s="225"/>
      <c r="WUM23" s="226"/>
      <c r="WUN23" s="227"/>
      <c r="WUO23" s="228"/>
      <c r="WUP23" s="228"/>
      <c r="WUQ23" s="228"/>
      <c r="WUR23" s="228"/>
      <c r="WUS23" s="228"/>
      <c r="WUT23" s="228"/>
      <c r="WUU23" s="226"/>
      <c r="WUV23" s="226"/>
      <c r="WUW23" s="224"/>
      <c r="WUX23" s="225"/>
      <c r="WUY23" s="226"/>
      <c r="WUZ23" s="227"/>
      <c r="WVA23" s="228"/>
      <c r="WVB23" s="228"/>
      <c r="WVC23" s="228"/>
      <c r="WVD23" s="228"/>
      <c r="WVE23" s="228"/>
      <c r="WVF23" s="228"/>
      <c r="WVG23" s="226"/>
      <c r="WVH23" s="226"/>
      <c r="WVI23" s="224"/>
      <c r="WVJ23" s="225"/>
      <c r="WVK23" s="226"/>
      <c r="WVL23" s="227"/>
      <c r="WVM23" s="228"/>
      <c r="WVN23" s="228"/>
      <c r="WVO23" s="228"/>
      <c r="WVP23" s="228"/>
      <c r="WVQ23" s="228"/>
      <c r="WVR23" s="228"/>
      <c r="WVS23" s="226"/>
      <c r="WVT23" s="226"/>
      <c r="WVU23" s="224"/>
      <c r="WVV23" s="225"/>
      <c r="WVW23" s="226"/>
      <c r="WVX23" s="227"/>
      <c r="WVY23" s="228"/>
      <c r="WVZ23" s="228"/>
      <c r="WWA23" s="228"/>
      <c r="WWB23" s="228"/>
      <c r="WWC23" s="228"/>
      <c r="WWD23" s="228"/>
      <c r="WWE23" s="226"/>
      <c r="WWF23" s="226"/>
      <c r="WWG23" s="224"/>
      <c r="WWH23" s="225"/>
      <c r="WWI23" s="226"/>
      <c r="WWJ23" s="227"/>
      <c r="WWK23" s="228"/>
      <c r="WWL23" s="228"/>
      <c r="WWM23" s="228"/>
      <c r="WWN23" s="228"/>
      <c r="WWO23" s="228"/>
      <c r="WWP23" s="228"/>
      <c r="WWQ23" s="226"/>
      <c r="WWR23" s="226"/>
      <c r="WWS23" s="224"/>
      <c r="WWT23" s="225"/>
      <c r="WWU23" s="226"/>
      <c r="WWV23" s="227"/>
      <c r="WWW23" s="228"/>
      <c r="WWX23" s="228"/>
      <c r="WWY23" s="228"/>
      <c r="WWZ23" s="228"/>
      <c r="WXA23" s="228"/>
      <c r="WXB23" s="228"/>
      <c r="WXC23" s="226"/>
      <c r="WXD23" s="226"/>
      <c r="WXE23" s="224"/>
      <c r="WXF23" s="225"/>
      <c r="WXG23" s="226"/>
      <c r="WXH23" s="227"/>
      <c r="WXI23" s="228"/>
      <c r="WXJ23" s="228"/>
      <c r="WXK23" s="228"/>
      <c r="WXL23" s="228"/>
      <c r="WXM23" s="228"/>
      <c r="WXN23" s="228"/>
      <c r="WXO23" s="226"/>
      <c r="WXP23" s="226"/>
      <c r="WXQ23" s="224"/>
      <c r="WXR23" s="225"/>
      <c r="WXS23" s="226"/>
      <c r="WXT23" s="227"/>
      <c r="WXU23" s="228"/>
      <c r="WXV23" s="228"/>
      <c r="WXW23" s="228"/>
      <c r="WXX23" s="228"/>
      <c r="WXY23" s="228"/>
      <c r="WXZ23" s="228"/>
      <c r="WYA23" s="226"/>
      <c r="WYB23" s="226"/>
      <c r="WYC23" s="224"/>
      <c r="WYD23" s="225"/>
      <c r="WYE23" s="226"/>
      <c r="WYF23" s="227"/>
      <c r="WYG23" s="228"/>
      <c r="WYH23" s="228"/>
      <c r="WYI23" s="228"/>
      <c r="WYJ23" s="228"/>
      <c r="WYK23" s="228"/>
      <c r="WYL23" s="228"/>
      <c r="WYM23" s="226"/>
      <c r="WYN23" s="226"/>
      <c r="WYO23" s="224"/>
      <c r="WYP23" s="225"/>
      <c r="WYQ23" s="226"/>
      <c r="WYR23" s="227"/>
      <c r="WYS23" s="228"/>
      <c r="WYT23" s="228"/>
      <c r="WYU23" s="228"/>
      <c r="WYV23" s="228"/>
      <c r="WYW23" s="228"/>
      <c r="WYX23" s="228"/>
      <c r="WYY23" s="226"/>
      <c r="WYZ23" s="226"/>
      <c r="WZA23" s="224"/>
      <c r="WZB23" s="225"/>
      <c r="WZC23" s="226"/>
      <c r="WZD23" s="227"/>
      <c r="WZE23" s="228"/>
      <c r="WZF23" s="228"/>
      <c r="WZG23" s="228"/>
      <c r="WZH23" s="228"/>
      <c r="WZI23" s="228"/>
      <c r="WZJ23" s="228"/>
      <c r="WZK23" s="226"/>
      <c r="WZL23" s="226"/>
      <c r="WZM23" s="224"/>
      <c r="WZN23" s="225"/>
      <c r="WZO23" s="226"/>
      <c r="WZP23" s="227"/>
      <c r="WZQ23" s="228"/>
      <c r="WZR23" s="228"/>
      <c r="WZS23" s="228"/>
      <c r="WZT23" s="228"/>
      <c r="WZU23" s="228"/>
      <c r="WZV23" s="228"/>
      <c r="WZW23" s="226"/>
      <c r="WZX23" s="226"/>
      <c r="WZY23" s="224"/>
      <c r="WZZ23" s="225"/>
      <c r="XAA23" s="226"/>
      <c r="XAB23" s="227"/>
      <c r="XAC23" s="228"/>
      <c r="XAD23" s="228"/>
      <c r="XAE23" s="228"/>
      <c r="XAF23" s="228"/>
      <c r="XAG23" s="228"/>
      <c r="XAH23" s="228"/>
      <c r="XAI23" s="226"/>
      <c r="XAJ23" s="226"/>
      <c r="XAK23" s="224"/>
      <c r="XAL23" s="225"/>
      <c r="XAM23" s="226"/>
      <c r="XAN23" s="227"/>
      <c r="XAO23" s="228"/>
      <c r="XAP23" s="228"/>
      <c r="XAQ23" s="228"/>
      <c r="XAR23" s="228"/>
      <c r="XAS23" s="228"/>
      <c r="XAT23" s="228"/>
      <c r="XAU23" s="226"/>
      <c r="XAV23" s="226"/>
      <c r="XAW23" s="224"/>
      <c r="XAX23" s="225"/>
      <c r="XAY23" s="226"/>
      <c r="XAZ23" s="227"/>
      <c r="XBA23" s="228"/>
      <c r="XBB23" s="228"/>
      <c r="XBC23" s="228"/>
      <c r="XBD23" s="228"/>
      <c r="XBE23" s="228"/>
      <c r="XBF23" s="228"/>
      <c r="XBG23" s="226"/>
      <c r="XBH23" s="226"/>
      <c r="XBI23" s="224"/>
      <c r="XBJ23" s="225"/>
      <c r="XBK23" s="226"/>
      <c r="XBL23" s="227"/>
      <c r="XBM23" s="228"/>
      <c r="XBN23" s="228"/>
      <c r="XBO23" s="228"/>
      <c r="XBP23" s="228"/>
      <c r="XBQ23" s="228"/>
      <c r="XBR23" s="228"/>
      <c r="XBS23" s="226"/>
      <c r="XBT23" s="226"/>
      <c r="XBU23" s="224"/>
      <c r="XBV23" s="225"/>
      <c r="XBW23" s="226"/>
      <c r="XBX23" s="227"/>
      <c r="XBY23" s="228"/>
      <c r="XBZ23" s="228"/>
      <c r="XCA23" s="228"/>
      <c r="XCB23" s="228"/>
      <c r="XCC23" s="228"/>
      <c r="XCD23" s="228"/>
      <c r="XCE23" s="226"/>
      <c r="XCF23" s="226"/>
      <c r="XCG23" s="224"/>
      <c r="XCH23" s="225"/>
      <c r="XCI23" s="226"/>
      <c r="XCJ23" s="227"/>
      <c r="XCK23" s="228"/>
      <c r="XCL23" s="228"/>
      <c r="XCM23" s="228"/>
      <c r="XCN23" s="228"/>
      <c r="XCO23" s="228"/>
      <c r="XCP23" s="228"/>
      <c r="XCQ23" s="226"/>
      <c r="XCR23" s="226"/>
      <c r="XCS23" s="224"/>
      <c r="XCT23" s="225"/>
      <c r="XCU23" s="226"/>
      <c r="XCV23" s="227"/>
      <c r="XCW23" s="228"/>
      <c r="XCX23" s="228"/>
      <c r="XCY23" s="228"/>
      <c r="XCZ23" s="228"/>
      <c r="XDA23" s="228"/>
      <c r="XDB23" s="228"/>
      <c r="XDC23" s="226"/>
      <c r="XDD23" s="226"/>
      <c r="XDE23" s="224"/>
      <c r="XDF23" s="225"/>
      <c r="XDG23" s="226"/>
      <c r="XDH23" s="227"/>
      <c r="XDI23" s="228"/>
      <c r="XDJ23" s="228"/>
      <c r="XDK23" s="228"/>
      <c r="XDL23" s="228"/>
      <c r="XDM23" s="228"/>
      <c r="XDN23" s="228"/>
      <c r="XDO23" s="226"/>
      <c r="XDP23" s="226"/>
      <c r="XDQ23" s="224"/>
      <c r="XDR23" s="225"/>
      <c r="XDS23" s="226"/>
      <c r="XDT23" s="227"/>
      <c r="XDU23" s="228"/>
      <c r="XDV23" s="228"/>
      <c r="XDW23" s="228"/>
      <c r="XDX23" s="228"/>
      <c r="XDY23" s="228"/>
      <c r="XDZ23" s="228"/>
      <c r="XEA23" s="226"/>
      <c r="XEB23" s="226"/>
      <c r="XEC23" s="224"/>
      <c r="XED23" s="225"/>
      <c r="XEE23" s="226"/>
      <c r="XEF23" s="227"/>
      <c r="XEG23" s="228"/>
      <c r="XEH23" s="228"/>
      <c r="XEI23" s="228"/>
      <c r="XEJ23" s="228"/>
      <c r="XEK23" s="228"/>
      <c r="XEL23" s="228"/>
      <c r="XEM23" s="226"/>
      <c r="XEN23" s="226"/>
      <c r="XEO23" s="224"/>
      <c r="XEP23" s="225"/>
      <c r="XEQ23" s="226"/>
      <c r="XER23" s="227"/>
      <c r="XES23" s="228"/>
      <c r="XET23" s="228"/>
      <c r="XEU23" s="228"/>
      <c r="XEV23" s="228"/>
      <c r="XEW23" s="228"/>
      <c r="XEX23" s="228"/>
      <c r="XEY23" s="226"/>
      <c r="XEZ23" s="226"/>
      <c r="XFA23" s="224"/>
      <c r="XFB23" s="225"/>
      <c r="XFC23" s="226"/>
      <c r="XFD23" s="227"/>
    </row>
    <row r="24" spans="1:16384" s="370" customFormat="1" ht="7.5" customHeight="1">
      <c r="A24" s="19"/>
      <c r="B24" s="19"/>
      <c r="C24" s="19"/>
      <c r="D24" s="109"/>
      <c r="E24" s="19"/>
      <c r="F24" s="19"/>
      <c r="G24" s="19"/>
      <c r="H24" s="19"/>
      <c r="I24" s="19"/>
      <c r="J24" s="19"/>
      <c r="K24" s="497"/>
      <c r="L24" s="231"/>
      <c r="N24" s="247"/>
      <c r="O24" s="247"/>
      <c r="P24" s="247"/>
      <c r="Q24" s="247"/>
      <c r="R24" s="247"/>
      <c r="S24" s="247"/>
      <c r="T24" s="247"/>
      <c r="U24" s="247"/>
      <c r="V24" s="247"/>
    </row>
    <row r="25" spans="1:16384" s="370" customFormat="1" ht="39.5">
      <c r="A25" s="111" t="s">
        <v>136</v>
      </c>
      <c r="B25" s="1" t="s">
        <v>116</v>
      </c>
      <c r="C25" s="2" t="s">
        <v>953</v>
      </c>
      <c r="D25" s="106" t="s">
        <v>1006</v>
      </c>
      <c r="E25" s="105" t="s">
        <v>0</v>
      </c>
      <c r="F25" s="1" t="s">
        <v>1</v>
      </c>
      <c r="G25" s="1" t="s">
        <v>2</v>
      </c>
      <c r="H25" s="1" t="s">
        <v>3</v>
      </c>
      <c r="I25" s="1" t="s">
        <v>4</v>
      </c>
      <c r="J25" s="1" t="s">
        <v>26</v>
      </c>
      <c r="K25" s="1" t="s">
        <v>5</v>
      </c>
      <c r="L25" s="232"/>
      <c r="N25" s="247"/>
      <c r="O25" s="247"/>
      <c r="P25" s="247"/>
      <c r="Q25" s="247"/>
      <c r="R25" s="247"/>
      <c r="S25" s="247"/>
      <c r="T25" s="247"/>
      <c r="U25" s="247"/>
      <c r="V25" s="247"/>
    </row>
    <row r="26" spans="1:16384" s="370" customFormat="1">
      <c r="A26" s="140" t="s">
        <v>137</v>
      </c>
      <c r="B26" s="121" t="s">
        <v>121</v>
      </c>
      <c r="C26" s="268">
        <f>+'Collaborative Imp'!E46</f>
        <v>29</v>
      </c>
      <c r="D26" s="107">
        <f>+K26</f>
        <v>22.755000000000003</v>
      </c>
      <c r="E26" s="122">
        <f>'Collaborative Imp'!G37*'Prep%Fuelspercentage.direct'!$C$39</f>
        <v>0</v>
      </c>
      <c r="F26" s="122">
        <f>'Collaborative Imp'!H37*'Prep%Fuelspercentage.direct'!$C$39</f>
        <v>0</v>
      </c>
      <c r="G26" s="122">
        <f>'Collaborative Imp'!I37*'Prep%Fuelspercentage.direct'!$C$39</f>
        <v>0</v>
      </c>
      <c r="H26" s="122">
        <f>'Collaborative Imp'!J37*'Prep%Fuelspercentage.direct'!$C$39</f>
        <v>0</v>
      </c>
      <c r="I26" s="122">
        <f>'Collaborative Imp'!K37*'Prep%Fuelspercentage.direct'!$C$39</f>
        <v>0</v>
      </c>
      <c r="J26" s="122">
        <f>+'Collaborative Imp'!F41</f>
        <v>22.755000000000003</v>
      </c>
      <c r="K26" s="136">
        <f t="shared" ref="K26:K31" si="9">SUM(E26:J26)</f>
        <v>22.755000000000003</v>
      </c>
      <c r="L26" s="228">
        <f t="shared" ref="L26:L31" si="10">(K26*-$M$2)+K26</f>
        <v>22.755000000000003</v>
      </c>
      <c r="M26" s="223"/>
      <c r="N26" s="247"/>
      <c r="O26" s="247"/>
      <c r="P26" s="247"/>
      <c r="Q26" s="247"/>
      <c r="R26" s="247"/>
      <c r="S26" s="247"/>
      <c r="T26" s="247"/>
      <c r="U26" s="247"/>
      <c r="V26" s="247"/>
    </row>
    <row r="27" spans="1:16384" s="370" customFormat="1">
      <c r="A27" s="140" t="s">
        <v>138</v>
      </c>
      <c r="B27" s="121" t="s">
        <v>121</v>
      </c>
      <c r="C27" s="268">
        <f>'DOI Fuels Agrmnts'!E37</f>
        <v>1652</v>
      </c>
      <c r="D27" s="107">
        <f>'DOI Fuels Agrmnts'!F37</f>
        <v>1368</v>
      </c>
      <c r="E27" s="122">
        <f>'DOI Fuels Agrmnts'!G37</f>
        <v>0</v>
      </c>
      <c r="F27" s="122">
        <f>'DOI Fuels Agrmnts'!H37</f>
        <v>0</v>
      </c>
      <c r="G27" s="122">
        <f>'DOI Fuels Agrmnts'!I37</f>
        <v>0</v>
      </c>
      <c r="H27" s="122">
        <f>'DOI Fuels Agrmnts'!J37</f>
        <v>0</v>
      </c>
      <c r="I27" s="122">
        <f>'DOI Fuels Agrmnts'!K37</f>
        <v>168</v>
      </c>
      <c r="J27" s="122">
        <f>'DOI Fuels Agrmnts'!L37</f>
        <v>1200</v>
      </c>
      <c r="K27" s="136">
        <f t="shared" si="9"/>
        <v>1368</v>
      </c>
      <c r="L27" s="228">
        <f t="shared" si="10"/>
        <v>1368</v>
      </c>
      <c r="N27" s="247"/>
      <c r="O27" s="247"/>
      <c r="P27" s="247"/>
      <c r="Q27" s="247"/>
      <c r="R27" s="247"/>
      <c r="S27" s="247"/>
      <c r="T27" s="247"/>
      <c r="U27" s="247"/>
      <c r="V27" s="247"/>
    </row>
    <row r="28" spans="1:16384" s="370" customFormat="1">
      <c r="A28" s="542" t="s">
        <v>139</v>
      </c>
      <c r="B28" s="121" t="s">
        <v>121</v>
      </c>
      <c r="C28" s="268">
        <f>+'LLC Support'!I46</f>
        <v>245</v>
      </c>
      <c r="D28" s="107">
        <f>+K28</f>
        <v>83.5</v>
      </c>
      <c r="E28" s="122">
        <f>'LLC Support'!G41*'Prep%Fuelspercentage.direct'!$B39</f>
        <v>0</v>
      </c>
      <c r="F28" s="122">
        <f>'LLC Support'!H41*'Prep%Fuelspercentage.direct'!$B39</f>
        <v>0</v>
      </c>
      <c r="G28" s="122">
        <f>'LLC Support'!I41*'Prep%Fuelspercentage.direct'!$B39</f>
        <v>0</v>
      </c>
      <c r="H28" s="122">
        <f>+'LLC Support'!J46</f>
        <v>83.5</v>
      </c>
      <c r="I28" s="122">
        <f>'LLC Support'!K41*'Prep%Fuelspercentage.direct'!$B39</f>
        <v>0</v>
      </c>
      <c r="J28" s="122">
        <v>0</v>
      </c>
      <c r="K28" s="136">
        <f t="shared" si="9"/>
        <v>83.5</v>
      </c>
      <c r="L28" s="228">
        <f t="shared" si="10"/>
        <v>83.5</v>
      </c>
      <c r="N28" s="247"/>
      <c r="O28" s="247"/>
      <c r="P28" s="247"/>
      <c r="Q28" s="247"/>
      <c r="R28" s="247"/>
      <c r="S28" s="247"/>
      <c r="T28" s="247"/>
      <c r="U28" s="247"/>
      <c r="V28" s="247"/>
    </row>
    <row r="29" spans="1:16384" s="370" customFormat="1">
      <c r="A29" s="140" t="s">
        <v>140</v>
      </c>
      <c r="B29" s="121" t="s">
        <v>121</v>
      </c>
      <c r="C29" s="268">
        <f>SageSTEP!E40</f>
        <v>250</v>
      </c>
      <c r="D29" s="107">
        <f>SageSTEP!F40</f>
        <v>250</v>
      </c>
      <c r="E29" s="122">
        <f>SageSTEP!G40</f>
        <v>0</v>
      </c>
      <c r="F29" s="122">
        <f>SageSTEP!H40</f>
        <v>250</v>
      </c>
      <c r="G29" s="122">
        <f>SageSTEP!I40</f>
        <v>0</v>
      </c>
      <c r="H29" s="122">
        <f>SageSTEP!J40</f>
        <v>0</v>
      </c>
      <c r="I29" s="122">
        <f>SageSTEP!K40</f>
        <v>0</v>
      </c>
      <c r="J29" s="122">
        <v>0</v>
      </c>
      <c r="K29" s="136">
        <f t="shared" si="9"/>
        <v>250</v>
      </c>
      <c r="L29" s="228">
        <f t="shared" si="10"/>
        <v>250</v>
      </c>
      <c r="N29" s="247"/>
      <c r="O29" s="247"/>
      <c r="P29" s="247"/>
      <c r="Q29" s="247"/>
      <c r="R29" s="247"/>
      <c r="S29" s="247"/>
      <c r="T29" s="247"/>
      <c r="U29" s="247"/>
      <c r="V29" s="247"/>
    </row>
    <row r="30" spans="1:16384" s="370" customFormat="1">
      <c r="A30" s="140" t="s">
        <v>1557</v>
      </c>
      <c r="B30" s="180" t="s">
        <v>121</v>
      </c>
      <c r="C30" s="268">
        <f>+'Smoke Postions'!E34</f>
        <v>0</v>
      </c>
      <c r="D30" s="107">
        <f>+'Smoke Postions'!F34</f>
        <v>443</v>
      </c>
      <c r="E30" s="122">
        <f>+'Smoke Postions'!G34</f>
        <v>0</v>
      </c>
      <c r="F30" s="122">
        <f>+'Smoke Postions'!H34</f>
        <v>0</v>
      </c>
      <c r="G30" s="122">
        <f>+'Smoke Postions'!I34</f>
        <v>0</v>
      </c>
      <c r="H30" s="122">
        <f>+'Smoke Postions'!J34</f>
        <v>443</v>
      </c>
      <c r="I30" s="122">
        <f>+'Smoke Postions'!K34</f>
        <v>0</v>
      </c>
      <c r="J30" s="122">
        <f>+'Smoke Postions'!L34</f>
        <v>0</v>
      </c>
      <c r="K30" s="136">
        <f t="shared" si="9"/>
        <v>443</v>
      </c>
      <c r="L30" s="228">
        <f t="shared" si="10"/>
        <v>443</v>
      </c>
      <c r="N30" s="247"/>
      <c r="O30" s="247"/>
      <c r="P30" s="247"/>
      <c r="Q30" s="247"/>
      <c r="R30" s="247"/>
      <c r="S30" s="247"/>
      <c r="T30" s="247"/>
      <c r="U30" s="247"/>
      <c r="V30" s="247"/>
    </row>
    <row r="31" spans="1:16384" s="370" customFormat="1">
      <c r="A31" s="140" t="s">
        <v>141</v>
      </c>
      <c r="B31" s="121" t="s">
        <v>128</v>
      </c>
      <c r="C31" s="122">
        <f>+'IT (WFIT) Project Summary'!C35</f>
        <v>9489</v>
      </c>
      <c r="D31" s="107">
        <f>+'IT (WFIT) Project Summary'!D35</f>
        <v>7299.0764000000008</v>
      </c>
      <c r="E31" s="122">
        <f>+'IT (WFIT) Project Summary'!E35</f>
        <v>0</v>
      </c>
      <c r="F31" s="122">
        <f>+'IT (WFIT) Project Summary'!F35</f>
        <v>1243.4983999999999</v>
      </c>
      <c r="G31" s="122">
        <f>+'IT (WFIT) Project Summary'!G35</f>
        <v>-0.1769999999999996</v>
      </c>
      <c r="H31" s="122">
        <f>+'IT (WFIT) Project Summary'!H35</f>
        <v>1352</v>
      </c>
      <c r="I31" s="122">
        <f>+'IT (WFIT) Project Summary'!I35</f>
        <v>3028</v>
      </c>
      <c r="J31" s="122">
        <f>+'IT (WFIT) Project Summary'!J35</f>
        <v>1676</v>
      </c>
      <c r="K31" s="136">
        <f t="shared" si="9"/>
        <v>7299.3213999999998</v>
      </c>
      <c r="L31" s="228">
        <f t="shared" si="10"/>
        <v>7299.3213999999998</v>
      </c>
      <c r="N31" s="247"/>
      <c r="O31" s="247"/>
      <c r="P31" s="247"/>
      <c r="Q31" s="247"/>
      <c r="R31" s="247"/>
      <c r="S31" s="247"/>
      <c r="T31" s="247"/>
      <c r="U31" s="247"/>
      <c r="V31" s="247"/>
    </row>
    <row r="32" spans="1:16384" s="370" customFormat="1">
      <c r="A32" s="111" t="s">
        <v>142</v>
      </c>
      <c r="B32" s="121"/>
      <c r="C32" s="122"/>
      <c r="D32" s="107"/>
      <c r="E32" s="122"/>
      <c r="F32" s="122"/>
      <c r="G32" s="122"/>
      <c r="H32" s="122"/>
      <c r="I32" s="122"/>
      <c r="J32" s="122"/>
      <c r="K32" s="136"/>
      <c r="L32" s="228"/>
      <c r="N32" s="247"/>
      <c r="O32" s="247"/>
      <c r="P32" s="247"/>
      <c r="Q32" s="247"/>
      <c r="R32" s="247"/>
      <c r="S32" s="247"/>
      <c r="T32" s="247"/>
      <c r="U32" s="247"/>
      <c r="V32" s="247"/>
    </row>
    <row r="33" spans="1:16384" s="370" customFormat="1">
      <c r="A33" s="542" t="s">
        <v>143</v>
      </c>
      <c r="B33" s="370" t="s">
        <v>119</v>
      </c>
      <c r="C33" s="268">
        <v>6000</v>
      </c>
      <c r="D33" s="107">
        <f>+E33</f>
        <v>4000</v>
      </c>
      <c r="E33" s="122">
        <v>4000</v>
      </c>
      <c r="F33" s="122">
        <v>0</v>
      </c>
      <c r="G33" s="122">
        <v>0</v>
      </c>
      <c r="H33" s="122">
        <v>0</v>
      </c>
      <c r="I33" s="122">
        <v>0</v>
      </c>
      <c r="J33" s="122">
        <v>0</v>
      </c>
      <c r="K33" s="136">
        <f t="shared" ref="K33" si="11">SUM(E33:J33)</f>
        <v>4000</v>
      </c>
      <c r="L33" s="228">
        <f>(K33*-$M$2)+K33</f>
        <v>4000</v>
      </c>
      <c r="N33" s="247"/>
      <c r="O33" s="247"/>
      <c r="P33" s="247"/>
      <c r="Q33" s="247"/>
      <c r="R33" s="247"/>
      <c r="S33" s="247"/>
      <c r="T33" s="247"/>
      <c r="U33" s="247"/>
      <c r="V33" s="247"/>
    </row>
    <row r="34" spans="1:16384" s="370" customFormat="1">
      <c r="A34" s="542" t="s">
        <v>130</v>
      </c>
      <c r="B34" s="370" t="s">
        <v>121</v>
      </c>
      <c r="C34" s="268">
        <v>5000</v>
      </c>
      <c r="D34" s="107">
        <f>+E34</f>
        <v>5000</v>
      </c>
      <c r="E34" s="122">
        <f>5000</f>
        <v>5000</v>
      </c>
      <c r="F34" s="122">
        <v>0</v>
      </c>
      <c r="G34" s="122"/>
      <c r="H34" s="122"/>
      <c r="I34" s="122"/>
      <c r="J34" s="122"/>
      <c r="K34" s="136">
        <f t="shared" ref="K34" si="12">SUM(E34:J34)</f>
        <v>5000</v>
      </c>
      <c r="L34" s="228">
        <f t="shared" ref="L34" si="13">(K34*-$M$2)+K34</f>
        <v>5000</v>
      </c>
      <c r="N34" s="247"/>
      <c r="O34" s="247"/>
      <c r="P34" s="247"/>
      <c r="Q34" s="247"/>
      <c r="R34" s="247"/>
      <c r="S34" s="247"/>
      <c r="T34" s="247"/>
      <c r="U34" s="247"/>
      <c r="V34" s="247"/>
    </row>
    <row r="35" spans="1:16384" s="370" customFormat="1">
      <c r="A35" s="138" t="s">
        <v>144</v>
      </c>
      <c r="B35" s="117"/>
      <c r="C35" s="123">
        <f t="shared" ref="C35:L35" si="14">SUM(C26:C34)</f>
        <v>22665</v>
      </c>
      <c r="D35" s="139">
        <f t="shared" si="14"/>
        <v>18466.331400000003</v>
      </c>
      <c r="E35" s="123">
        <f t="shared" si="14"/>
        <v>9000</v>
      </c>
      <c r="F35" s="123">
        <f t="shared" si="14"/>
        <v>1493.4983999999999</v>
      </c>
      <c r="G35" s="123">
        <f t="shared" si="14"/>
        <v>-0.1769999999999996</v>
      </c>
      <c r="H35" s="123">
        <f t="shared" si="14"/>
        <v>1878.5</v>
      </c>
      <c r="I35" s="123">
        <f t="shared" si="14"/>
        <v>3196</v>
      </c>
      <c r="J35" s="123">
        <f t="shared" si="14"/>
        <v>2898.7550000000001</v>
      </c>
      <c r="K35" s="135">
        <f t="shared" si="14"/>
        <v>18466.576399999998</v>
      </c>
      <c r="L35" s="230">
        <f t="shared" si="14"/>
        <v>18466.576399999998</v>
      </c>
      <c r="N35" s="247"/>
      <c r="O35" s="247"/>
      <c r="P35" s="247"/>
      <c r="Q35" s="247"/>
      <c r="R35" s="247"/>
      <c r="S35" s="247"/>
      <c r="T35" s="247"/>
      <c r="U35" s="247"/>
      <c r="V35" s="247"/>
    </row>
    <row r="36" spans="1:16384" s="370" customFormat="1">
      <c r="A36" s="224" t="s">
        <v>135</v>
      </c>
      <c r="B36" s="225"/>
      <c r="C36" s="226"/>
      <c r="D36" s="227"/>
      <c r="E36" s="226">
        <f t="shared" ref="E36:J36" si="15">(E35*-$M$2)+E35</f>
        <v>9000</v>
      </c>
      <c r="F36" s="226">
        <f t="shared" si="15"/>
        <v>1493.4983999999999</v>
      </c>
      <c r="G36" s="226">
        <f t="shared" si="15"/>
        <v>-0.1769999999999996</v>
      </c>
      <c r="H36" s="226">
        <f t="shared" si="15"/>
        <v>1878.5</v>
      </c>
      <c r="I36" s="226">
        <f>(I35*-$M$2)+I35</f>
        <v>3196</v>
      </c>
      <c r="J36" s="226">
        <f t="shared" si="15"/>
        <v>2898.7550000000001</v>
      </c>
      <c r="K36" s="496">
        <f>SUM(E36:J36)</f>
        <v>18466.576400000002</v>
      </c>
      <c r="L36" s="226"/>
      <c r="N36" s="247" t="s">
        <v>1529</v>
      </c>
      <c r="O36" s="247"/>
      <c r="P36" s="281">
        <f>+'Misc and one-time - Fuels'!F38+IQCS!F39+LANDFIRE!F33+74+167</f>
        <v>2208</v>
      </c>
      <c r="Q36" s="247"/>
      <c r="R36" s="247"/>
      <c r="S36" s="247"/>
      <c r="T36" s="247"/>
      <c r="U36" s="247"/>
      <c r="V36" s="247"/>
    </row>
    <row r="37" spans="1:16384" s="370" customFormat="1" ht="7.5" customHeight="1">
      <c r="A37" s="19"/>
      <c r="B37" s="19"/>
      <c r="C37" s="19"/>
      <c r="D37" s="109"/>
      <c r="E37" s="19"/>
      <c r="F37" s="19"/>
      <c r="G37" s="19"/>
      <c r="H37" s="19"/>
      <c r="I37" s="19"/>
      <c r="J37" s="19"/>
      <c r="K37" s="497"/>
      <c r="L37" s="231"/>
      <c r="N37" s="247"/>
      <c r="O37" s="247"/>
      <c r="P37" s="247"/>
      <c r="Q37" s="247"/>
      <c r="R37" s="247"/>
      <c r="S37" s="247"/>
      <c r="T37" s="247"/>
      <c r="U37" s="247"/>
      <c r="V37" s="247"/>
    </row>
    <row r="38" spans="1:16384" s="370" customFormat="1" ht="39.5">
      <c r="A38" s="129" t="s">
        <v>145</v>
      </c>
      <c r="B38" s="1" t="s">
        <v>116</v>
      </c>
      <c r="C38" s="2" t="s">
        <v>953</v>
      </c>
      <c r="D38" s="106" t="s">
        <v>1006</v>
      </c>
      <c r="E38" s="105" t="s">
        <v>0</v>
      </c>
      <c r="F38" s="1" t="s">
        <v>1</v>
      </c>
      <c r="G38" s="1" t="s">
        <v>2</v>
      </c>
      <c r="H38" s="1" t="s">
        <v>3</v>
      </c>
      <c r="I38" s="1" t="s">
        <v>4</v>
      </c>
      <c r="J38" s="1" t="s">
        <v>26</v>
      </c>
      <c r="K38" s="1" t="s">
        <v>5</v>
      </c>
      <c r="L38" s="232"/>
      <c r="N38" s="247"/>
      <c r="O38" s="247"/>
      <c r="P38" s="247"/>
      <c r="Q38" s="247"/>
      <c r="R38" s="247"/>
      <c r="S38" s="247"/>
      <c r="T38" s="247"/>
      <c r="U38" s="247"/>
      <c r="V38" s="247"/>
    </row>
    <row r="39" spans="1:16384" s="370" customFormat="1">
      <c r="A39" s="140" t="s">
        <v>146</v>
      </c>
      <c r="B39" s="121" t="s">
        <v>121</v>
      </c>
      <c r="C39" s="268">
        <f>'BAR Program'!E40</f>
        <v>1130</v>
      </c>
      <c r="D39" s="107">
        <f>'BAR Program'!F40</f>
        <v>1323</v>
      </c>
      <c r="E39" s="122">
        <f>'BAR Program'!G40</f>
        <v>251</v>
      </c>
      <c r="F39" s="122">
        <f>'BAR Program'!H40</f>
        <v>309</v>
      </c>
      <c r="G39" s="122">
        <f>'BAR Program'!I40</f>
        <v>249</v>
      </c>
      <c r="H39" s="122">
        <f>'BAR Program'!J40</f>
        <v>462</v>
      </c>
      <c r="I39" s="122">
        <f>'BAR Program'!K40</f>
        <v>52</v>
      </c>
      <c r="J39" s="122">
        <f>'BAR Program'!L40</f>
        <v>0</v>
      </c>
      <c r="K39" s="136">
        <f>SUM(E39:J39)</f>
        <v>1323</v>
      </c>
      <c r="L39" s="228">
        <f>(K39*-$M$2)+K39</f>
        <v>1323</v>
      </c>
      <c r="N39" s="247"/>
      <c r="O39" s="247"/>
      <c r="P39" s="247"/>
      <c r="Q39" s="247"/>
      <c r="R39" s="247"/>
      <c r="S39" s="247"/>
      <c r="T39" s="247"/>
      <c r="U39" s="247"/>
      <c r="V39" s="247"/>
    </row>
    <row r="40" spans="1:16384" s="370" customFormat="1">
      <c r="A40" s="138" t="s">
        <v>147</v>
      </c>
      <c r="B40" s="117"/>
      <c r="C40" s="123">
        <f t="shared" ref="C40:J40" si="16">SUM(C39:C39)</f>
        <v>1130</v>
      </c>
      <c r="D40" s="139">
        <f t="shared" si="16"/>
        <v>1323</v>
      </c>
      <c r="E40" s="123">
        <f t="shared" si="16"/>
        <v>251</v>
      </c>
      <c r="F40" s="123">
        <f t="shared" si="16"/>
        <v>309</v>
      </c>
      <c r="G40" s="123">
        <f t="shared" si="16"/>
        <v>249</v>
      </c>
      <c r="H40" s="123">
        <f t="shared" si="16"/>
        <v>462</v>
      </c>
      <c r="I40" s="123">
        <f t="shared" si="16"/>
        <v>52</v>
      </c>
      <c r="J40" s="123">
        <f t="shared" si="16"/>
        <v>0</v>
      </c>
      <c r="K40" s="135">
        <f>SUM(E40:J40)</f>
        <v>1323</v>
      </c>
      <c r="L40" s="230">
        <f>(K40*-$M$2)+K40</f>
        <v>1323</v>
      </c>
      <c r="N40" s="247"/>
      <c r="O40" s="247"/>
      <c r="P40" s="247"/>
      <c r="Q40" s="247"/>
      <c r="R40" s="247"/>
      <c r="S40" s="247"/>
      <c r="T40" s="247"/>
      <c r="U40" s="247"/>
      <c r="V40" s="247"/>
    </row>
    <row r="41" spans="1:16384" s="149" customFormat="1">
      <c r="A41" s="224" t="s">
        <v>135</v>
      </c>
      <c r="B41" s="225"/>
      <c r="C41" s="226"/>
      <c r="D41" s="227"/>
      <c r="E41" s="226">
        <f t="shared" ref="E41:J41" si="17">(E40*-$M$2)+E40</f>
        <v>251</v>
      </c>
      <c r="F41" s="226">
        <f t="shared" si="17"/>
        <v>309</v>
      </c>
      <c r="G41" s="226">
        <f t="shared" si="17"/>
        <v>249</v>
      </c>
      <c r="H41" s="226">
        <f t="shared" si="17"/>
        <v>462</v>
      </c>
      <c r="I41" s="226">
        <f t="shared" si="17"/>
        <v>52</v>
      </c>
      <c r="J41" s="226">
        <f t="shared" si="17"/>
        <v>0</v>
      </c>
      <c r="K41" s="496">
        <f>SUM(E41:J41)</f>
        <v>1323</v>
      </c>
      <c r="L41" s="226"/>
      <c r="M41" s="387"/>
      <c r="N41" s="247"/>
      <c r="O41" s="247"/>
      <c r="P41" s="247"/>
      <c r="Q41" s="247"/>
      <c r="R41" s="247"/>
      <c r="S41" s="247"/>
      <c r="T41" s="247"/>
      <c r="U41" s="247"/>
      <c r="V41" s="247"/>
      <c r="W41" s="389"/>
      <c r="X41" s="389"/>
      <c r="Y41" s="387"/>
      <c r="Z41" s="180"/>
      <c r="AA41" s="389"/>
      <c r="AB41" s="389"/>
      <c r="AC41" s="389"/>
      <c r="AD41" s="389"/>
      <c r="AE41" s="389"/>
      <c r="AF41" s="389"/>
      <c r="AG41" s="389"/>
      <c r="AH41" s="389"/>
      <c r="AI41" s="389"/>
      <c r="AJ41" s="226"/>
      <c r="AK41" s="224"/>
      <c r="AL41" s="225"/>
      <c r="AM41" s="226"/>
      <c r="AN41" s="227"/>
      <c r="AO41" s="228"/>
      <c r="AP41" s="228"/>
      <c r="AQ41" s="228"/>
      <c r="AR41" s="228"/>
      <c r="AS41" s="228"/>
      <c r="AT41" s="228"/>
      <c r="AU41" s="226"/>
      <c r="AV41" s="226"/>
      <c r="AW41" s="224"/>
      <c r="AX41" s="225"/>
      <c r="AY41" s="226"/>
      <c r="AZ41" s="227"/>
      <c r="BA41" s="228"/>
      <c r="BB41" s="228"/>
      <c r="BC41" s="228"/>
      <c r="BD41" s="228"/>
      <c r="BE41" s="228"/>
      <c r="BF41" s="228"/>
      <c r="BG41" s="226"/>
      <c r="BH41" s="226"/>
      <c r="BI41" s="224"/>
      <c r="BJ41" s="225"/>
      <c r="BK41" s="226"/>
      <c r="BL41" s="227"/>
      <c r="BM41" s="228"/>
      <c r="BN41" s="228"/>
      <c r="BO41" s="228"/>
      <c r="BP41" s="228"/>
      <c r="BQ41" s="228"/>
      <c r="BR41" s="228"/>
      <c r="BS41" s="226"/>
      <c r="BT41" s="226"/>
      <c r="BU41" s="224"/>
      <c r="BV41" s="225"/>
      <c r="BW41" s="226"/>
      <c r="BX41" s="227"/>
      <c r="BY41" s="228"/>
      <c r="BZ41" s="228"/>
      <c r="CA41" s="228"/>
      <c r="CB41" s="228"/>
      <c r="CC41" s="228"/>
      <c r="CD41" s="228"/>
      <c r="CE41" s="226"/>
      <c r="CF41" s="226"/>
      <c r="CG41" s="224"/>
      <c r="CH41" s="225"/>
      <c r="CI41" s="226"/>
      <c r="CJ41" s="227"/>
      <c r="CK41" s="228"/>
      <c r="CL41" s="228"/>
      <c r="CM41" s="228"/>
      <c r="CN41" s="228"/>
      <c r="CO41" s="228"/>
      <c r="CP41" s="228"/>
      <c r="CQ41" s="226"/>
      <c r="CR41" s="226"/>
      <c r="CS41" s="224"/>
      <c r="CT41" s="225"/>
      <c r="CU41" s="226"/>
      <c r="CV41" s="227"/>
      <c r="CW41" s="228"/>
      <c r="CX41" s="228"/>
      <c r="CY41" s="228"/>
      <c r="CZ41" s="228"/>
      <c r="DA41" s="228"/>
      <c r="DB41" s="228"/>
      <c r="DC41" s="226"/>
      <c r="DD41" s="226"/>
      <c r="DE41" s="224"/>
      <c r="DF41" s="225"/>
      <c r="DG41" s="226"/>
      <c r="DH41" s="227"/>
      <c r="DI41" s="228"/>
      <c r="DJ41" s="228"/>
      <c r="DK41" s="228"/>
      <c r="DL41" s="228"/>
      <c r="DM41" s="228"/>
      <c r="DN41" s="228"/>
      <c r="DO41" s="226"/>
      <c r="DP41" s="226"/>
      <c r="DQ41" s="224"/>
      <c r="DR41" s="225"/>
      <c r="DS41" s="226"/>
      <c r="DT41" s="227"/>
      <c r="DU41" s="228"/>
      <c r="DV41" s="228"/>
      <c r="DW41" s="228"/>
      <c r="DX41" s="228"/>
      <c r="DY41" s="228"/>
      <c r="DZ41" s="228"/>
      <c r="EA41" s="226"/>
      <c r="EB41" s="226"/>
      <c r="EC41" s="224"/>
      <c r="ED41" s="225"/>
      <c r="EE41" s="226"/>
      <c r="EF41" s="227"/>
      <c r="EG41" s="228"/>
      <c r="EH41" s="228"/>
      <c r="EI41" s="228"/>
      <c r="EJ41" s="228"/>
      <c r="EK41" s="228"/>
      <c r="EL41" s="228"/>
      <c r="EM41" s="226"/>
      <c r="EN41" s="226"/>
      <c r="EO41" s="224"/>
      <c r="EP41" s="225"/>
      <c r="EQ41" s="226"/>
      <c r="ER41" s="227"/>
      <c r="ES41" s="228"/>
      <c r="ET41" s="228"/>
      <c r="EU41" s="228"/>
      <c r="EV41" s="228"/>
      <c r="EW41" s="228"/>
      <c r="EX41" s="228"/>
      <c r="EY41" s="226"/>
      <c r="EZ41" s="226"/>
      <c r="FA41" s="224"/>
      <c r="FB41" s="225"/>
      <c r="FC41" s="226"/>
      <c r="FD41" s="227"/>
      <c r="FE41" s="228"/>
      <c r="FF41" s="228"/>
      <c r="FG41" s="228"/>
      <c r="FH41" s="228"/>
      <c r="FI41" s="228"/>
      <c r="FJ41" s="228"/>
      <c r="FK41" s="226"/>
      <c r="FL41" s="226"/>
      <c r="FM41" s="224"/>
      <c r="FN41" s="225"/>
      <c r="FO41" s="226"/>
      <c r="FP41" s="227"/>
      <c r="FQ41" s="228"/>
      <c r="FR41" s="228"/>
      <c r="FS41" s="228"/>
      <c r="FT41" s="228"/>
      <c r="FU41" s="228"/>
      <c r="FV41" s="228"/>
      <c r="FW41" s="226"/>
      <c r="FX41" s="226"/>
      <c r="FY41" s="224"/>
      <c r="FZ41" s="225"/>
      <c r="GA41" s="226"/>
      <c r="GB41" s="227"/>
      <c r="GC41" s="228"/>
      <c r="GD41" s="228"/>
      <c r="GE41" s="228"/>
      <c r="GF41" s="228"/>
      <c r="GG41" s="228"/>
      <c r="GH41" s="228"/>
      <c r="GI41" s="226"/>
      <c r="GJ41" s="226"/>
      <c r="GK41" s="224"/>
      <c r="GL41" s="225"/>
      <c r="GM41" s="226"/>
      <c r="GN41" s="227"/>
      <c r="GO41" s="228"/>
      <c r="GP41" s="228"/>
      <c r="GQ41" s="228"/>
      <c r="GR41" s="228"/>
      <c r="GS41" s="228"/>
      <c r="GT41" s="228"/>
      <c r="GU41" s="226"/>
      <c r="GV41" s="226"/>
      <c r="GW41" s="224"/>
      <c r="GX41" s="225"/>
      <c r="GY41" s="226"/>
      <c r="GZ41" s="227"/>
      <c r="HA41" s="228"/>
      <c r="HB41" s="228"/>
      <c r="HC41" s="228"/>
      <c r="HD41" s="228"/>
      <c r="HE41" s="228"/>
      <c r="HF41" s="228"/>
      <c r="HG41" s="226"/>
      <c r="HH41" s="226"/>
      <c r="HI41" s="224"/>
      <c r="HJ41" s="225"/>
      <c r="HK41" s="226"/>
      <c r="HL41" s="227"/>
      <c r="HM41" s="228"/>
      <c r="HN41" s="228"/>
      <c r="HO41" s="228"/>
      <c r="HP41" s="228"/>
      <c r="HQ41" s="228"/>
      <c r="HR41" s="228"/>
      <c r="HS41" s="226"/>
      <c r="HT41" s="226"/>
      <c r="HU41" s="224"/>
      <c r="HV41" s="225"/>
      <c r="HW41" s="226"/>
      <c r="HX41" s="227"/>
      <c r="HY41" s="228"/>
      <c r="HZ41" s="228"/>
      <c r="IA41" s="228"/>
      <c r="IB41" s="228"/>
      <c r="IC41" s="228"/>
      <c r="ID41" s="228"/>
      <c r="IE41" s="226"/>
      <c r="IF41" s="226"/>
      <c r="IG41" s="224"/>
      <c r="IH41" s="225"/>
      <c r="II41" s="226"/>
      <c r="IJ41" s="227"/>
      <c r="IK41" s="228"/>
      <c r="IL41" s="228"/>
      <c r="IM41" s="228"/>
      <c r="IN41" s="228"/>
      <c r="IO41" s="228"/>
      <c r="IP41" s="228"/>
      <c r="IQ41" s="226"/>
      <c r="IR41" s="226"/>
      <c r="IS41" s="224"/>
      <c r="IT41" s="225"/>
      <c r="IU41" s="226"/>
      <c r="IV41" s="227"/>
      <c r="IW41" s="228"/>
      <c r="IX41" s="228"/>
      <c r="IY41" s="228"/>
      <c r="IZ41" s="228"/>
      <c r="JA41" s="228"/>
      <c r="JB41" s="228"/>
      <c r="JC41" s="226"/>
      <c r="JD41" s="226"/>
      <c r="JE41" s="224"/>
      <c r="JF41" s="225"/>
      <c r="JG41" s="226"/>
      <c r="JH41" s="227"/>
      <c r="JI41" s="228"/>
      <c r="JJ41" s="228"/>
      <c r="JK41" s="228"/>
      <c r="JL41" s="228"/>
      <c r="JM41" s="228"/>
      <c r="JN41" s="228"/>
      <c r="JO41" s="226"/>
      <c r="JP41" s="226"/>
      <c r="JQ41" s="224"/>
      <c r="JR41" s="225"/>
      <c r="JS41" s="226"/>
      <c r="JT41" s="227"/>
      <c r="JU41" s="228"/>
      <c r="JV41" s="228"/>
      <c r="JW41" s="228"/>
      <c r="JX41" s="228"/>
      <c r="JY41" s="228"/>
      <c r="JZ41" s="228"/>
      <c r="KA41" s="226"/>
      <c r="KB41" s="226"/>
      <c r="KC41" s="224"/>
      <c r="KD41" s="225"/>
      <c r="KE41" s="226"/>
      <c r="KF41" s="227"/>
      <c r="KG41" s="228"/>
      <c r="KH41" s="228"/>
      <c r="KI41" s="228"/>
      <c r="KJ41" s="228"/>
      <c r="KK41" s="228"/>
      <c r="KL41" s="228"/>
      <c r="KM41" s="226"/>
      <c r="KN41" s="226"/>
      <c r="KO41" s="224"/>
      <c r="KP41" s="225"/>
      <c r="KQ41" s="226"/>
      <c r="KR41" s="227"/>
      <c r="KS41" s="228"/>
      <c r="KT41" s="228"/>
      <c r="KU41" s="228"/>
      <c r="KV41" s="228"/>
      <c r="KW41" s="228"/>
      <c r="KX41" s="228"/>
      <c r="KY41" s="226"/>
      <c r="KZ41" s="226"/>
      <c r="LA41" s="224"/>
      <c r="LB41" s="225"/>
      <c r="LC41" s="226"/>
      <c r="LD41" s="227"/>
      <c r="LE41" s="228"/>
      <c r="LF41" s="228"/>
      <c r="LG41" s="228"/>
      <c r="LH41" s="228"/>
      <c r="LI41" s="228"/>
      <c r="LJ41" s="228"/>
      <c r="LK41" s="226"/>
      <c r="LL41" s="226"/>
      <c r="LM41" s="224"/>
      <c r="LN41" s="225"/>
      <c r="LO41" s="226"/>
      <c r="LP41" s="227"/>
      <c r="LQ41" s="228"/>
      <c r="LR41" s="228"/>
      <c r="LS41" s="228"/>
      <c r="LT41" s="228"/>
      <c r="LU41" s="228"/>
      <c r="LV41" s="228"/>
      <c r="LW41" s="226"/>
      <c r="LX41" s="226"/>
      <c r="LY41" s="224"/>
      <c r="LZ41" s="225"/>
      <c r="MA41" s="226"/>
      <c r="MB41" s="227"/>
      <c r="MC41" s="228"/>
      <c r="MD41" s="228"/>
      <c r="ME41" s="228"/>
      <c r="MF41" s="228"/>
      <c r="MG41" s="228"/>
      <c r="MH41" s="228"/>
      <c r="MI41" s="226"/>
      <c r="MJ41" s="226"/>
      <c r="MK41" s="224"/>
      <c r="ML41" s="225"/>
      <c r="MM41" s="226"/>
      <c r="MN41" s="227"/>
      <c r="MO41" s="228"/>
      <c r="MP41" s="228"/>
      <c r="MQ41" s="228"/>
      <c r="MR41" s="228"/>
      <c r="MS41" s="228"/>
      <c r="MT41" s="228"/>
      <c r="MU41" s="226"/>
      <c r="MV41" s="226"/>
      <c r="MW41" s="224"/>
      <c r="MX41" s="225"/>
      <c r="MY41" s="226"/>
      <c r="MZ41" s="227"/>
      <c r="NA41" s="228"/>
      <c r="NB41" s="228"/>
      <c r="NC41" s="228"/>
      <c r="ND41" s="228"/>
      <c r="NE41" s="228"/>
      <c r="NF41" s="228"/>
      <c r="NG41" s="226"/>
      <c r="NH41" s="226"/>
      <c r="NI41" s="224"/>
      <c r="NJ41" s="225"/>
      <c r="NK41" s="226"/>
      <c r="NL41" s="227"/>
      <c r="NM41" s="228"/>
      <c r="NN41" s="228"/>
      <c r="NO41" s="228"/>
      <c r="NP41" s="228"/>
      <c r="NQ41" s="228"/>
      <c r="NR41" s="228"/>
      <c r="NS41" s="226"/>
      <c r="NT41" s="226"/>
      <c r="NU41" s="224"/>
      <c r="NV41" s="225"/>
      <c r="NW41" s="226"/>
      <c r="NX41" s="227"/>
      <c r="NY41" s="228"/>
      <c r="NZ41" s="228"/>
      <c r="OA41" s="228"/>
      <c r="OB41" s="228"/>
      <c r="OC41" s="228"/>
      <c r="OD41" s="228"/>
      <c r="OE41" s="226"/>
      <c r="OF41" s="226"/>
      <c r="OG41" s="224"/>
      <c r="OH41" s="225"/>
      <c r="OI41" s="226"/>
      <c r="OJ41" s="227"/>
      <c r="OK41" s="228"/>
      <c r="OL41" s="228"/>
      <c r="OM41" s="228"/>
      <c r="ON41" s="228"/>
      <c r="OO41" s="228"/>
      <c r="OP41" s="228"/>
      <c r="OQ41" s="226"/>
      <c r="OR41" s="226"/>
      <c r="OS41" s="224"/>
      <c r="OT41" s="225"/>
      <c r="OU41" s="226"/>
      <c r="OV41" s="227"/>
      <c r="OW41" s="228"/>
      <c r="OX41" s="228"/>
      <c r="OY41" s="228"/>
      <c r="OZ41" s="228"/>
      <c r="PA41" s="228"/>
      <c r="PB41" s="228"/>
      <c r="PC41" s="226"/>
      <c r="PD41" s="226"/>
      <c r="PE41" s="224"/>
      <c r="PF41" s="225"/>
      <c r="PG41" s="226"/>
      <c r="PH41" s="227"/>
      <c r="PI41" s="228"/>
      <c r="PJ41" s="228"/>
      <c r="PK41" s="228"/>
      <c r="PL41" s="228"/>
      <c r="PM41" s="228"/>
      <c r="PN41" s="228"/>
      <c r="PO41" s="226"/>
      <c r="PP41" s="226"/>
      <c r="PQ41" s="224"/>
      <c r="PR41" s="225"/>
      <c r="PS41" s="226"/>
      <c r="PT41" s="227"/>
      <c r="PU41" s="228"/>
      <c r="PV41" s="228"/>
      <c r="PW41" s="228"/>
      <c r="PX41" s="228"/>
      <c r="PY41" s="228"/>
      <c r="PZ41" s="228"/>
      <c r="QA41" s="226"/>
      <c r="QB41" s="226"/>
      <c r="QC41" s="224"/>
      <c r="QD41" s="225"/>
      <c r="QE41" s="226"/>
      <c r="QF41" s="227"/>
      <c r="QG41" s="228"/>
      <c r="QH41" s="228"/>
      <c r="QI41" s="228"/>
      <c r="QJ41" s="228"/>
      <c r="QK41" s="228"/>
      <c r="QL41" s="228"/>
      <c r="QM41" s="226"/>
      <c r="QN41" s="226"/>
      <c r="QO41" s="224"/>
      <c r="QP41" s="225"/>
      <c r="QQ41" s="226"/>
      <c r="QR41" s="227"/>
      <c r="QS41" s="228"/>
      <c r="QT41" s="228"/>
      <c r="QU41" s="228"/>
      <c r="QV41" s="228"/>
      <c r="QW41" s="228"/>
      <c r="QX41" s="228"/>
      <c r="QY41" s="226"/>
      <c r="QZ41" s="226"/>
      <c r="RA41" s="224"/>
      <c r="RB41" s="225"/>
      <c r="RC41" s="226"/>
      <c r="RD41" s="227"/>
      <c r="RE41" s="228"/>
      <c r="RF41" s="228"/>
      <c r="RG41" s="228"/>
      <c r="RH41" s="228"/>
      <c r="RI41" s="228"/>
      <c r="RJ41" s="228"/>
      <c r="RK41" s="226"/>
      <c r="RL41" s="226"/>
      <c r="RM41" s="224"/>
      <c r="RN41" s="225"/>
      <c r="RO41" s="226"/>
      <c r="RP41" s="227"/>
      <c r="RQ41" s="228"/>
      <c r="RR41" s="228"/>
      <c r="RS41" s="228"/>
      <c r="RT41" s="228"/>
      <c r="RU41" s="228"/>
      <c r="RV41" s="228"/>
      <c r="RW41" s="226"/>
      <c r="RX41" s="226"/>
      <c r="RY41" s="224"/>
      <c r="RZ41" s="225"/>
      <c r="SA41" s="226"/>
      <c r="SB41" s="227"/>
      <c r="SC41" s="228"/>
      <c r="SD41" s="228"/>
      <c r="SE41" s="228"/>
      <c r="SF41" s="228"/>
      <c r="SG41" s="228"/>
      <c r="SH41" s="228"/>
      <c r="SI41" s="226"/>
      <c r="SJ41" s="226"/>
      <c r="SK41" s="224"/>
      <c r="SL41" s="225"/>
      <c r="SM41" s="226"/>
      <c r="SN41" s="227"/>
      <c r="SO41" s="228"/>
      <c r="SP41" s="228"/>
      <c r="SQ41" s="228"/>
      <c r="SR41" s="228"/>
      <c r="SS41" s="228"/>
      <c r="ST41" s="228"/>
      <c r="SU41" s="226"/>
      <c r="SV41" s="226"/>
      <c r="SW41" s="224"/>
      <c r="SX41" s="225"/>
      <c r="SY41" s="226"/>
      <c r="SZ41" s="227"/>
      <c r="TA41" s="228"/>
      <c r="TB41" s="228"/>
      <c r="TC41" s="228"/>
      <c r="TD41" s="228"/>
      <c r="TE41" s="228"/>
      <c r="TF41" s="228"/>
      <c r="TG41" s="226"/>
      <c r="TH41" s="226"/>
      <c r="TI41" s="224"/>
      <c r="TJ41" s="225"/>
      <c r="TK41" s="226"/>
      <c r="TL41" s="227"/>
      <c r="TM41" s="228"/>
      <c r="TN41" s="228"/>
      <c r="TO41" s="228"/>
      <c r="TP41" s="228"/>
      <c r="TQ41" s="228"/>
      <c r="TR41" s="228"/>
      <c r="TS41" s="226"/>
      <c r="TT41" s="226"/>
      <c r="TU41" s="224"/>
      <c r="TV41" s="225"/>
      <c r="TW41" s="226"/>
      <c r="TX41" s="227"/>
      <c r="TY41" s="228"/>
      <c r="TZ41" s="228"/>
      <c r="UA41" s="228"/>
      <c r="UB41" s="228"/>
      <c r="UC41" s="228"/>
      <c r="UD41" s="228"/>
      <c r="UE41" s="226"/>
      <c r="UF41" s="226"/>
      <c r="UG41" s="224"/>
      <c r="UH41" s="225"/>
      <c r="UI41" s="226"/>
      <c r="UJ41" s="227"/>
      <c r="UK41" s="228"/>
      <c r="UL41" s="228"/>
      <c r="UM41" s="228"/>
      <c r="UN41" s="228"/>
      <c r="UO41" s="228"/>
      <c r="UP41" s="228"/>
      <c r="UQ41" s="226"/>
      <c r="UR41" s="226"/>
      <c r="US41" s="224"/>
      <c r="UT41" s="225"/>
      <c r="UU41" s="226"/>
      <c r="UV41" s="227"/>
      <c r="UW41" s="228"/>
      <c r="UX41" s="228"/>
      <c r="UY41" s="228"/>
      <c r="UZ41" s="228"/>
      <c r="VA41" s="228"/>
      <c r="VB41" s="228"/>
      <c r="VC41" s="226"/>
      <c r="VD41" s="226"/>
      <c r="VE41" s="224"/>
      <c r="VF41" s="225"/>
      <c r="VG41" s="226"/>
      <c r="VH41" s="227"/>
      <c r="VI41" s="228"/>
      <c r="VJ41" s="228"/>
      <c r="VK41" s="228"/>
      <c r="VL41" s="228"/>
      <c r="VM41" s="228"/>
      <c r="VN41" s="228"/>
      <c r="VO41" s="226"/>
      <c r="VP41" s="226"/>
      <c r="VQ41" s="224"/>
      <c r="VR41" s="225"/>
      <c r="VS41" s="226"/>
      <c r="VT41" s="227"/>
      <c r="VU41" s="228"/>
      <c r="VV41" s="228"/>
      <c r="VW41" s="228"/>
      <c r="VX41" s="228"/>
      <c r="VY41" s="228"/>
      <c r="VZ41" s="228"/>
      <c r="WA41" s="226"/>
      <c r="WB41" s="226"/>
      <c r="WC41" s="224"/>
      <c r="WD41" s="225"/>
      <c r="WE41" s="226"/>
      <c r="WF41" s="227"/>
      <c r="WG41" s="228"/>
      <c r="WH41" s="228"/>
      <c r="WI41" s="228"/>
      <c r="WJ41" s="228"/>
      <c r="WK41" s="228"/>
      <c r="WL41" s="228"/>
      <c r="WM41" s="226"/>
      <c r="WN41" s="226"/>
      <c r="WO41" s="224"/>
      <c r="WP41" s="225"/>
      <c r="WQ41" s="226"/>
      <c r="WR41" s="227"/>
      <c r="WS41" s="228"/>
      <c r="WT41" s="228"/>
      <c r="WU41" s="228"/>
      <c r="WV41" s="228"/>
      <c r="WW41" s="228"/>
      <c r="WX41" s="228"/>
      <c r="WY41" s="226"/>
      <c r="WZ41" s="226"/>
      <c r="XA41" s="224"/>
      <c r="XB41" s="225"/>
      <c r="XC41" s="226"/>
      <c r="XD41" s="227"/>
      <c r="XE41" s="228"/>
      <c r="XF41" s="228"/>
      <c r="XG41" s="228"/>
      <c r="XH41" s="228"/>
      <c r="XI41" s="228"/>
      <c r="XJ41" s="228"/>
      <c r="XK41" s="226"/>
      <c r="XL41" s="226"/>
      <c r="XM41" s="224"/>
      <c r="XN41" s="225"/>
      <c r="XO41" s="226"/>
      <c r="XP41" s="227"/>
      <c r="XQ41" s="228"/>
      <c r="XR41" s="228"/>
      <c r="XS41" s="228"/>
      <c r="XT41" s="228"/>
      <c r="XU41" s="228"/>
      <c r="XV41" s="228"/>
      <c r="XW41" s="226"/>
      <c r="XX41" s="226"/>
      <c r="XY41" s="224"/>
      <c r="XZ41" s="225"/>
      <c r="YA41" s="226"/>
      <c r="YB41" s="227"/>
      <c r="YC41" s="228"/>
      <c r="YD41" s="228"/>
      <c r="YE41" s="228"/>
      <c r="YF41" s="228"/>
      <c r="YG41" s="228"/>
      <c r="YH41" s="228"/>
      <c r="YI41" s="226"/>
      <c r="YJ41" s="226"/>
      <c r="YK41" s="224"/>
      <c r="YL41" s="225"/>
      <c r="YM41" s="226"/>
      <c r="YN41" s="227"/>
      <c r="YO41" s="228"/>
      <c r="YP41" s="228"/>
      <c r="YQ41" s="228"/>
      <c r="YR41" s="228"/>
      <c r="YS41" s="228"/>
      <c r="YT41" s="228"/>
      <c r="YU41" s="226"/>
      <c r="YV41" s="226"/>
      <c r="YW41" s="224"/>
      <c r="YX41" s="225"/>
      <c r="YY41" s="226"/>
      <c r="YZ41" s="227"/>
      <c r="ZA41" s="228"/>
      <c r="ZB41" s="228"/>
      <c r="ZC41" s="228"/>
      <c r="ZD41" s="228"/>
      <c r="ZE41" s="228"/>
      <c r="ZF41" s="228"/>
      <c r="ZG41" s="226"/>
      <c r="ZH41" s="226"/>
      <c r="ZI41" s="224"/>
      <c r="ZJ41" s="225"/>
      <c r="ZK41" s="226"/>
      <c r="ZL41" s="227"/>
      <c r="ZM41" s="228"/>
      <c r="ZN41" s="228"/>
      <c r="ZO41" s="228"/>
      <c r="ZP41" s="228"/>
      <c r="ZQ41" s="228"/>
      <c r="ZR41" s="228"/>
      <c r="ZS41" s="226"/>
      <c r="ZT41" s="226"/>
      <c r="ZU41" s="224"/>
      <c r="ZV41" s="225"/>
      <c r="ZW41" s="226"/>
      <c r="ZX41" s="227"/>
      <c r="ZY41" s="228"/>
      <c r="ZZ41" s="228"/>
      <c r="AAA41" s="228"/>
      <c r="AAB41" s="228"/>
      <c r="AAC41" s="228"/>
      <c r="AAD41" s="228"/>
      <c r="AAE41" s="226"/>
      <c r="AAF41" s="226"/>
      <c r="AAG41" s="224"/>
      <c r="AAH41" s="225"/>
      <c r="AAI41" s="226"/>
      <c r="AAJ41" s="227"/>
      <c r="AAK41" s="228"/>
      <c r="AAL41" s="228"/>
      <c r="AAM41" s="228"/>
      <c r="AAN41" s="228"/>
      <c r="AAO41" s="228"/>
      <c r="AAP41" s="228"/>
      <c r="AAQ41" s="226"/>
      <c r="AAR41" s="226"/>
      <c r="AAS41" s="224"/>
      <c r="AAT41" s="225"/>
      <c r="AAU41" s="226"/>
      <c r="AAV41" s="227"/>
      <c r="AAW41" s="228"/>
      <c r="AAX41" s="228"/>
      <c r="AAY41" s="228"/>
      <c r="AAZ41" s="228"/>
      <c r="ABA41" s="228"/>
      <c r="ABB41" s="228"/>
      <c r="ABC41" s="226"/>
      <c r="ABD41" s="226"/>
      <c r="ABE41" s="224"/>
      <c r="ABF41" s="225"/>
      <c r="ABG41" s="226"/>
      <c r="ABH41" s="227"/>
      <c r="ABI41" s="228"/>
      <c r="ABJ41" s="228"/>
      <c r="ABK41" s="228"/>
      <c r="ABL41" s="228"/>
      <c r="ABM41" s="228"/>
      <c r="ABN41" s="228"/>
      <c r="ABO41" s="226"/>
      <c r="ABP41" s="226"/>
      <c r="ABQ41" s="224"/>
      <c r="ABR41" s="225"/>
      <c r="ABS41" s="226"/>
      <c r="ABT41" s="227"/>
      <c r="ABU41" s="228"/>
      <c r="ABV41" s="228"/>
      <c r="ABW41" s="228"/>
      <c r="ABX41" s="228"/>
      <c r="ABY41" s="228"/>
      <c r="ABZ41" s="228"/>
      <c r="ACA41" s="226"/>
      <c r="ACB41" s="226"/>
      <c r="ACC41" s="224"/>
      <c r="ACD41" s="225"/>
      <c r="ACE41" s="226"/>
      <c r="ACF41" s="227"/>
      <c r="ACG41" s="228"/>
      <c r="ACH41" s="228"/>
      <c r="ACI41" s="228"/>
      <c r="ACJ41" s="228"/>
      <c r="ACK41" s="228"/>
      <c r="ACL41" s="228"/>
      <c r="ACM41" s="226"/>
      <c r="ACN41" s="226"/>
      <c r="ACO41" s="224"/>
      <c r="ACP41" s="225"/>
      <c r="ACQ41" s="226"/>
      <c r="ACR41" s="227"/>
      <c r="ACS41" s="228"/>
      <c r="ACT41" s="228"/>
      <c r="ACU41" s="228"/>
      <c r="ACV41" s="228"/>
      <c r="ACW41" s="228"/>
      <c r="ACX41" s="228"/>
      <c r="ACY41" s="226"/>
      <c r="ACZ41" s="226"/>
      <c r="ADA41" s="224"/>
      <c r="ADB41" s="225"/>
      <c r="ADC41" s="226"/>
      <c r="ADD41" s="227"/>
      <c r="ADE41" s="228"/>
      <c r="ADF41" s="228"/>
      <c r="ADG41" s="228"/>
      <c r="ADH41" s="228"/>
      <c r="ADI41" s="228"/>
      <c r="ADJ41" s="228"/>
      <c r="ADK41" s="226"/>
      <c r="ADL41" s="226"/>
      <c r="ADM41" s="224"/>
      <c r="ADN41" s="225"/>
      <c r="ADO41" s="226"/>
      <c r="ADP41" s="227"/>
      <c r="ADQ41" s="228"/>
      <c r="ADR41" s="228"/>
      <c r="ADS41" s="228"/>
      <c r="ADT41" s="228"/>
      <c r="ADU41" s="228"/>
      <c r="ADV41" s="228"/>
      <c r="ADW41" s="226"/>
      <c r="ADX41" s="226"/>
      <c r="ADY41" s="224"/>
      <c r="ADZ41" s="225"/>
      <c r="AEA41" s="226"/>
      <c r="AEB41" s="227"/>
      <c r="AEC41" s="228"/>
      <c r="AED41" s="228"/>
      <c r="AEE41" s="228"/>
      <c r="AEF41" s="228"/>
      <c r="AEG41" s="228"/>
      <c r="AEH41" s="228"/>
      <c r="AEI41" s="226"/>
      <c r="AEJ41" s="226"/>
      <c r="AEK41" s="224"/>
      <c r="AEL41" s="225"/>
      <c r="AEM41" s="226"/>
      <c r="AEN41" s="227"/>
      <c r="AEO41" s="228"/>
      <c r="AEP41" s="228"/>
      <c r="AEQ41" s="228"/>
      <c r="AER41" s="228"/>
      <c r="AES41" s="228"/>
      <c r="AET41" s="228"/>
      <c r="AEU41" s="226"/>
      <c r="AEV41" s="226"/>
      <c r="AEW41" s="224"/>
      <c r="AEX41" s="225"/>
      <c r="AEY41" s="226"/>
      <c r="AEZ41" s="227"/>
      <c r="AFA41" s="228"/>
      <c r="AFB41" s="228"/>
      <c r="AFC41" s="228"/>
      <c r="AFD41" s="228"/>
      <c r="AFE41" s="228"/>
      <c r="AFF41" s="228"/>
      <c r="AFG41" s="226"/>
      <c r="AFH41" s="226"/>
      <c r="AFI41" s="224"/>
      <c r="AFJ41" s="225"/>
      <c r="AFK41" s="226"/>
      <c r="AFL41" s="227"/>
      <c r="AFM41" s="228"/>
      <c r="AFN41" s="228"/>
      <c r="AFO41" s="228"/>
      <c r="AFP41" s="228"/>
      <c r="AFQ41" s="228"/>
      <c r="AFR41" s="228"/>
      <c r="AFS41" s="226"/>
      <c r="AFT41" s="226"/>
      <c r="AFU41" s="224"/>
      <c r="AFV41" s="225"/>
      <c r="AFW41" s="226"/>
      <c r="AFX41" s="227"/>
      <c r="AFY41" s="228"/>
      <c r="AFZ41" s="228"/>
      <c r="AGA41" s="228"/>
      <c r="AGB41" s="228"/>
      <c r="AGC41" s="228"/>
      <c r="AGD41" s="228"/>
      <c r="AGE41" s="226"/>
      <c r="AGF41" s="226"/>
      <c r="AGG41" s="224"/>
      <c r="AGH41" s="225"/>
      <c r="AGI41" s="226"/>
      <c r="AGJ41" s="227"/>
      <c r="AGK41" s="228"/>
      <c r="AGL41" s="228"/>
      <c r="AGM41" s="228"/>
      <c r="AGN41" s="228"/>
      <c r="AGO41" s="228"/>
      <c r="AGP41" s="228"/>
      <c r="AGQ41" s="226"/>
      <c r="AGR41" s="226"/>
      <c r="AGS41" s="224"/>
      <c r="AGT41" s="225"/>
      <c r="AGU41" s="226"/>
      <c r="AGV41" s="227"/>
      <c r="AGW41" s="228"/>
      <c r="AGX41" s="228"/>
      <c r="AGY41" s="228"/>
      <c r="AGZ41" s="228"/>
      <c r="AHA41" s="228"/>
      <c r="AHB41" s="228"/>
      <c r="AHC41" s="226"/>
      <c r="AHD41" s="226"/>
      <c r="AHE41" s="224"/>
      <c r="AHF41" s="225"/>
      <c r="AHG41" s="226"/>
      <c r="AHH41" s="227"/>
      <c r="AHI41" s="228"/>
      <c r="AHJ41" s="228"/>
      <c r="AHK41" s="228"/>
      <c r="AHL41" s="228"/>
      <c r="AHM41" s="228"/>
      <c r="AHN41" s="228"/>
      <c r="AHO41" s="226"/>
      <c r="AHP41" s="226"/>
      <c r="AHQ41" s="224"/>
      <c r="AHR41" s="225"/>
      <c r="AHS41" s="226"/>
      <c r="AHT41" s="227"/>
      <c r="AHU41" s="228"/>
      <c r="AHV41" s="228"/>
      <c r="AHW41" s="228"/>
      <c r="AHX41" s="228"/>
      <c r="AHY41" s="228"/>
      <c r="AHZ41" s="228"/>
      <c r="AIA41" s="226"/>
      <c r="AIB41" s="226"/>
      <c r="AIC41" s="224"/>
      <c r="AID41" s="225"/>
      <c r="AIE41" s="226"/>
      <c r="AIF41" s="227"/>
      <c r="AIG41" s="228"/>
      <c r="AIH41" s="228"/>
      <c r="AII41" s="228"/>
      <c r="AIJ41" s="228"/>
      <c r="AIK41" s="228"/>
      <c r="AIL41" s="228"/>
      <c r="AIM41" s="226"/>
      <c r="AIN41" s="226"/>
      <c r="AIO41" s="224"/>
      <c r="AIP41" s="225"/>
      <c r="AIQ41" s="226"/>
      <c r="AIR41" s="227"/>
      <c r="AIS41" s="228"/>
      <c r="AIT41" s="228"/>
      <c r="AIU41" s="228"/>
      <c r="AIV41" s="228"/>
      <c r="AIW41" s="228"/>
      <c r="AIX41" s="228"/>
      <c r="AIY41" s="226"/>
      <c r="AIZ41" s="226"/>
      <c r="AJA41" s="224"/>
      <c r="AJB41" s="225"/>
      <c r="AJC41" s="226"/>
      <c r="AJD41" s="227"/>
      <c r="AJE41" s="228"/>
      <c r="AJF41" s="228"/>
      <c r="AJG41" s="228"/>
      <c r="AJH41" s="228"/>
      <c r="AJI41" s="228"/>
      <c r="AJJ41" s="228"/>
      <c r="AJK41" s="226"/>
      <c r="AJL41" s="226"/>
      <c r="AJM41" s="224"/>
      <c r="AJN41" s="225"/>
      <c r="AJO41" s="226"/>
      <c r="AJP41" s="227"/>
      <c r="AJQ41" s="228"/>
      <c r="AJR41" s="228"/>
      <c r="AJS41" s="228"/>
      <c r="AJT41" s="228"/>
      <c r="AJU41" s="228"/>
      <c r="AJV41" s="228"/>
      <c r="AJW41" s="226"/>
      <c r="AJX41" s="226"/>
      <c r="AJY41" s="224"/>
      <c r="AJZ41" s="225"/>
      <c r="AKA41" s="226"/>
      <c r="AKB41" s="227"/>
      <c r="AKC41" s="228"/>
      <c r="AKD41" s="228"/>
      <c r="AKE41" s="228"/>
      <c r="AKF41" s="228"/>
      <c r="AKG41" s="228"/>
      <c r="AKH41" s="228"/>
      <c r="AKI41" s="226"/>
      <c r="AKJ41" s="226"/>
      <c r="AKK41" s="224"/>
      <c r="AKL41" s="225"/>
      <c r="AKM41" s="226"/>
      <c r="AKN41" s="227"/>
      <c r="AKO41" s="228"/>
      <c r="AKP41" s="228"/>
      <c r="AKQ41" s="228"/>
      <c r="AKR41" s="228"/>
      <c r="AKS41" s="228"/>
      <c r="AKT41" s="228"/>
      <c r="AKU41" s="226"/>
      <c r="AKV41" s="226"/>
      <c r="AKW41" s="224"/>
      <c r="AKX41" s="225"/>
      <c r="AKY41" s="226"/>
      <c r="AKZ41" s="227"/>
      <c r="ALA41" s="228"/>
      <c r="ALB41" s="228"/>
      <c r="ALC41" s="228"/>
      <c r="ALD41" s="228"/>
      <c r="ALE41" s="228"/>
      <c r="ALF41" s="228"/>
      <c r="ALG41" s="226"/>
      <c r="ALH41" s="226"/>
      <c r="ALI41" s="224"/>
      <c r="ALJ41" s="225"/>
      <c r="ALK41" s="226"/>
      <c r="ALL41" s="227"/>
      <c r="ALM41" s="228"/>
      <c r="ALN41" s="228"/>
      <c r="ALO41" s="228"/>
      <c r="ALP41" s="228"/>
      <c r="ALQ41" s="228"/>
      <c r="ALR41" s="228"/>
      <c r="ALS41" s="226"/>
      <c r="ALT41" s="226"/>
      <c r="ALU41" s="224"/>
      <c r="ALV41" s="225"/>
      <c r="ALW41" s="226"/>
      <c r="ALX41" s="227"/>
      <c r="ALY41" s="228"/>
      <c r="ALZ41" s="228"/>
      <c r="AMA41" s="228"/>
      <c r="AMB41" s="228"/>
      <c r="AMC41" s="228"/>
      <c r="AMD41" s="228"/>
      <c r="AME41" s="226"/>
      <c r="AMF41" s="226"/>
      <c r="AMG41" s="224"/>
      <c r="AMH41" s="225"/>
      <c r="AMI41" s="226"/>
      <c r="AMJ41" s="227"/>
      <c r="AMK41" s="228"/>
      <c r="AML41" s="228"/>
      <c r="AMM41" s="228"/>
      <c r="AMN41" s="228"/>
      <c r="AMO41" s="228"/>
      <c r="AMP41" s="228"/>
      <c r="AMQ41" s="226"/>
      <c r="AMR41" s="226"/>
      <c r="AMS41" s="224"/>
      <c r="AMT41" s="225"/>
      <c r="AMU41" s="226"/>
      <c r="AMV41" s="227"/>
      <c r="AMW41" s="228"/>
      <c r="AMX41" s="228"/>
      <c r="AMY41" s="228"/>
      <c r="AMZ41" s="228"/>
      <c r="ANA41" s="228"/>
      <c r="ANB41" s="228"/>
      <c r="ANC41" s="226"/>
      <c r="AND41" s="226"/>
      <c r="ANE41" s="224"/>
      <c r="ANF41" s="225"/>
      <c r="ANG41" s="226"/>
      <c r="ANH41" s="227"/>
      <c r="ANI41" s="228"/>
      <c r="ANJ41" s="228"/>
      <c r="ANK41" s="228"/>
      <c r="ANL41" s="228"/>
      <c r="ANM41" s="228"/>
      <c r="ANN41" s="228"/>
      <c r="ANO41" s="226"/>
      <c r="ANP41" s="226"/>
      <c r="ANQ41" s="224"/>
      <c r="ANR41" s="225"/>
      <c r="ANS41" s="226"/>
      <c r="ANT41" s="227"/>
      <c r="ANU41" s="228"/>
      <c r="ANV41" s="228"/>
      <c r="ANW41" s="228"/>
      <c r="ANX41" s="228"/>
      <c r="ANY41" s="228"/>
      <c r="ANZ41" s="228"/>
      <c r="AOA41" s="226"/>
      <c r="AOB41" s="226"/>
      <c r="AOC41" s="224"/>
      <c r="AOD41" s="225"/>
      <c r="AOE41" s="226"/>
      <c r="AOF41" s="227"/>
      <c r="AOG41" s="228"/>
      <c r="AOH41" s="228"/>
      <c r="AOI41" s="228"/>
      <c r="AOJ41" s="228"/>
      <c r="AOK41" s="228"/>
      <c r="AOL41" s="228"/>
      <c r="AOM41" s="226"/>
      <c r="AON41" s="226"/>
      <c r="AOO41" s="224"/>
      <c r="AOP41" s="225"/>
      <c r="AOQ41" s="226"/>
      <c r="AOR41" s="227"/>
      <c r="AOS41" s="228"/>
      <c r="AOT41" s="228"/>
      <c r="AOU41" s="228"/>
      <c r="AOV41" s="228"/>
      <c r="AOW41" s="228"/>
      <c r="AOX41" s="228"/>
      <c r="AOY41" s="226"/>
      <c r="AOZ41" s="226"/>
      <c r="APA41" s="224"/>
      <c r="APB41" s="225"/>
      <c r="APC41" s="226"/>
      <c r="APD41" s="227"/>
      <c r="APE41" s="228"/>
      <c r="APF41" s="228"/>
      <c r="APG41" s="228"/>
      <c r="APH41" s="228"/>
      <c r="API41" s="228"/>
      <c r="APJ41" s="228"/>
      <c r="APK41" s="226"/>
      <c r="APL41" s="226"/>
      <c r="APM41" s="224"/>
      <c r="APN41" s="225"/>
      <c r="APO41" s="226"/>
      <c r="APP41" s="227"/>
      <c r="APQ41" s="228"/>
      <c r="APR41" s="228"/>
      <c r="APS41" s="228"/>
      <c r="APT41" s="228"/>
      <c r="APU41" s="228"/>
      <c r="APV41" s="228"/>
      <c r="APW41" s="226"/>
      <c r="APX41" s="226"/>
      <c r="APY41" s="224"/>
      <c r="APZ41" s="225"/>
      <c r="AQA41" s="226"/>
      <c r="AQB41" s="227"/>
      <c r="AQC41" s="228"/>
      <c r="AQD41" s="228"/>
      <c r="AQE41" s="228"/>
      <c r="AQF41" s="228"/>
      <c r="AQG41" s="228"/>
      <c r="AQH41" s="228"/>
      <c r="AQI41" s="226"/>
      <c r="AQJ41" s="226"/>
      <c r="AQK41" s="224"/>
      <c r="AQL41" s="225"/>
      <c r="AQM41" s="226"/>
      <c r="AQN41" s="227"/>
      <c r="AQO41" s="228"/>
      <c r="AQP41" s="228"/>
      <c r="AQQ41" s="228"/>
      <c r="AQR41" s="228"/>
      <c r="AQS41" s="228"/>
      <c r="AQT41" s="228"/>
      <c r="AQU41" s="226"/>
      <c r="AQV41" s="226"/>
      <c r="AQW41" s="224"/>
      <c r="AQX41" s="225"/>
      <c r="AQY41" s="226"/>
      <c r="AQZ41" s="227"/>
      <c r="ARA41" s="228"/>
      <c r="ARB41" s="228"/>
      <c r="ARC41" s="228"/>
      <c r="ARD41" s="228"/>
      <c r="ARE41" s="228"/>
      <c r="ARF41" s="228"/>
      <c r="ARG41" s="226"/>
      <c r="ARH41" s="226"/>
      <c r="ARI41" s="224"/>
      <c r="ARJ41" s="225"/>
      <c r="ARK41" s="226"/>
      <c r="ARL41" s="227"/>
      <c r="ARM41" s="228"/>
      <c r="ARN41" s="228"/>
      <c r="ARO41" s="228"/>
      <c r="ARP41" s="228"/>
      <c r="ARQ41" s="228"/>
      <c r="ARR41" s="228"/>
      <c r="ARS41" s="226"/>
      <c r="ART41" s="226"/>
      <c r="ARU41" s="224"/>
      <c r="ARV41" s="225"/>
      <c r="ARW41" s="226"/>
      <c r="ARX41" s="227"/>
      <c r="ARY41" s="228"/>
      <c r="ARZ41" s="228"/>
      <c r="ASA41" s="228"/>
      <c r="ASB41" s="228"/>
      <c r="ASC41" s="228"/>
      <c r="ASD41" s="228"/>
      <c r="ASE41" s="226"/>
      <c r="ASF41" s="226"/>
      <c r="ASG41" s="224"/>
      <c r="ASH41" s="225"/>
      <c r="ASI41" s="226"/>
      <c r="ASJ41" s="227"/>
      <c r="ASK41" s="228"/>
      <c r="ASL41" s="228"/>
      <c r="ASM41" s="228"/>
      <c r="ASN41" s="228"/>
      <c r="ASO41" s="228"/>
      <c r="ASP41" s="228"/>
      <c r="ASQ41" s="226"/>
      <c r="ASR41" s="226"/>
      <c r="ASS41" s="224"/>
      <c r="AST41" s="225"/>
      <c r="ASU41" s="226"/>
      <c r="ASV41" s="227"/>
      <c r="ASW41" s="228"/>
      <c r="ASX41" s="228"/>
      <c r="ASY41" s="228"/>
      <c r="ASZ41" s="228"/>
      <c r="ATA41" s="228"/>
      <c r="ATB41" s="228"/>
      <c r="ATC41" s="226"/>
      <c r="ATD41" s="226"/>
      <c r="ATE41" s="224"/>
      <c r="ATF41" s="225"/>
      <c r="ATG41" s="226"/>
      <c r="ATH41" s="227"/>
      <c r="ATI41" s="228"/>
      <c r="ATJ41" s="228"/>
      <c r="ATK41" s="228"/>
      <c r="ATL41" s="228"/>
      <c r="ATM41" s="228"/>
      <c r="ATN41" s="228"/>
      <c r="ATO41" s="226"/>
      <c r="ATP41" s="226"/>
      <c r="ATQ41" s="224"/>
      <c r="ATR41" s="225"/>
      <c r="ATS41" s="226"/>
      <c r="ATT41" s="227"/>
      <c r="ATU41" s="228"/>
      <c r="ATV41" s="228"/>
      <c r="ATW41" s="228"/>
      <c r="ATX41" s="228"/>
      <c r="ATY41" s="228"/>
      <c r="ATZ41" s="228"/>
      <c r="AUA41" s="226"/>
      <c r="AUB41" s="226"/>
      <c r="AUC41" s="224"/>
      <c r="AUD41" s="225"/>
      <c r="AUE41" s="226"/>
      <c r="AUF41" s="227"/>
      <c r="AUG41" s="228"/>
      <c r="AUH41" s="228"/>
      <c r="AUI41" s="228"/>
      <c r="AUJ41" s="228"/>
      <c r="AUK41" s="228"/>
      <c r="AUL41" s="228"/>
      <c r="AUM41" s="226"/>
      <c r="AUN41" s="226"/>
      <c r="AUO41" s="224"/>
      <c r="AUP41" s="225"/>
      <c r="AUQ41" s="226"/>
      <c r="AUR41" s="227"/>
      <c r="AUS41" s="228"/>
      <c r="AUT41" s="228"/>
      <c r="AUU41" s="228"/>
      <c r="AUV41" s="228"/>
      <c r="AUW41" s="228"/>
      <c r="AUX41" s="228"/>
      <c r="AUY41" s="226"/>
      <c r="AUZ41" s="226"/>
      <c r="AVA41" s="224"/>
      <c r="AVB41" s="225"/>
      <c r="AVC41" s="226"/>
      <c r="AVD41" s="227"/>
      <c r="AVE41" s="228"/>
      <c r="AVF41" s="228"/>
      <c r="AVG41" s="228"/>
      <c r="AVH41" s="228"/>
      <c r="AVI41" s="228"/>
      <c r="AVJ41" s="228"/>
      <c r="AVK41" s="226"/>
      <c r="AVL41" s="226"/>
      <c r="AVM41" s="224"/>
      <c r="AVN41" s="225"/>
      <c r="AVO41" s="226"/>
      <c r="AVP41" s="227"/>
      <c r="AVQ41" s="228"/>
      <c r="AVR41" s="228"/>
      <c r="AVS41" s="228"/>
      <c r="AVT41" s="228"/>
      <c r="AVU41" s="228"/>
      <c r="AVV41" s="228"/>
      <c r="AVW41" s="226"/>
      <c r="AVX41" s="226"/>
      <c r="AVY41" s="224"/>
      <c r="AVZ41" s="225"/>
      <c r="AWA41" s="226"/>
      <c r="AWB41" s="227"/>
      <c r="AWC41" s="228"/>
      <c r="AWD41" s="228"/>
      <c r="AWE41" s="228"/>
      <c r="AWF41" s="228"/>
      <c r="AWG41" s="228"/>
      <c r="AWH41" s="228"/>
      <c r="AWI41" s="226"/>
      <c r="AWJ41" s="226"/>
      <c r="AWK41" s="224"/>
      <c r="AWL41" s="225"/>
      <c r="AWM41" s="226"/>
      <c r="AWN41" s="227"/>
      <c r="AWO41" s="228"/>
      <c r="AWP41" s="228"/>
      <c r="AWQ41" s="228"/>
      <c r="AWR41" s="228"/>
      <c r="AWS41" s="228"/>
      <c r="AWT41" s="228"/>
      <c r="AWU41" s="226"/>
      <c r="AWV41" s="226"/>
      <c r="AWW41" s="224"/>
      <c r="AWX41" s="225"/>
      <c r="AWY41" s="226"/>
      <c r="AWZ41" s="227"/>
      <c r="AXA41" s="228"/>
      <c r="AXB41" s="228"/>
      <c r="AXC41" s="228"/>
      <c r="AXD41" s="228"/>
      <c r="AXE41" s="228"/>
      <c r="AXF41" s="228"/>
      <c r="AXG41" s="226"/>
      <c r="AXH41" s="226"/>
      <c r="AXI41" s="224"/>
      <c r="AXJ41" s="225"/>
      <c r="AXK41" s="226"/>
      <c r="AXL41" s="227"/>
      <c r="AXM41" s="228"/>
      <c r="AXN41" s="228"/>
      <c r="AXO41" s="228"/>
      <c r="AXP41" s="228"/>
      <c r="AXQ41" s="228"/>
      <c r="AXR41" s="228"/>
      <c r="AXS41" s="226"/>
      <c r="AXT41" s="226"/>
      <c r="AXU41" s="224"/>
      <c r="AXV41" s="225"/>
      <c r="AXW41" s="226"/>
      <c r="AXX41" s="227"/>
      <c r="AXY41" s="228"/>
      <c r="AXZ41" s="228"/>
      <c r="AYA41" s="228"/>
      <c r="AYB41" s="228"/>
      <c r="AYC41" s="228"/>
      <c r="AYD41" s="228"/>
      <c r="AYE41" s="226"/>
      <c r="AYF41" s="226"/>
      <c r="AYG41" s="224"/>
      <c r="AYH41" s="225"/>
      <c r="AYI41" s="226"/>
      <c r="AYJ41" s="227"/>
      <c r="AYK41" s="228"/>
      <c r="AYL41" s="228"/>
      <c r="AYM41" s="228"/>
      <c r="AYN41" s="228"/>
      <c r="AYO41" s="228"/>
      <c r="AYP41" s="228"/>
      <c r="AYQ41" s="226"/>
      <c r="AYR41" s="226"/>
      <c r="AYS41" s="224"/>
      <c r="AYT41" s="225"/>
      <c r="AYU41" s="226"/>
      <c r="AYV41" s="227"/>
      <c r="AYW41" s="228"/>
      <c r="AYX41" s="228"/>
      <c r="AYY41" s="228"/>
      <c r="AYZ41" s="228"/>
      <c r="AZA41" s="228"/>
      <c r="AZB41" s="228"/>
      <c r="AZC41" s="226"/>
      <c r="AZD41" s="226"/>
      <c r="AZE41" s="224"/>
      <c r="AZF41" s="225"/>
      <c r="AZG41" s="226"/>
      <c r="AZH41" s="227"/>
      <c r="AZI41" s="228"/>
      <c r="AZJ41" s="228"/>
      <c r="AZK41" s="228"/>
      <c r="AZL41" s="228"/>
      <c r="AZM41" s="228"/>
      <c r="AZN41" s="228"/>
      <c r="AZO41" s="226"/>
      <c r="AZP41" s="226"/>
      <c r="AZQ41" s="224"/>
      <c r="AZR41" s="225"/>
      <c r="AZS41" s="226"/>
      <c r="AZT41" s="227"/>
      <c r="AZU41" s="228"/>
      <c r="AZV41" s="228"/>
      <c r="AZW41" s="228"/>
      <c r="AZX41" s="228"/>
      <c r="AZY41" s="228"/>
      <c r="AZZ41" s="228"/>
      <c r="BAA41" s="226"/>
      <c r="BAB41" s="226"/>
      <c r="BAC41" s="224"/>
      <c r="BAD41" s="225"/>
      <c r="BAE41" s="226"/>
      <c r="BAF41" s="227"/>
      <c r="BAG41" s="228"/>
      <c r="BAH41" s="228"/>
      <c r="BAI41" s="228"/>
      <c r="BAJ41" s="228"/>
      <c r="BAK41" s="228"/>
      <c r="BAL41" s="228"/>
      <c r="BAM41" s="226"/>
      <c r="BAN41" s="226"/>
      <c r="BAO41" s="224"/>
      <c r="BAP41" s="225"/>
      <c r="BAQ41" s="226"/>
      <c r="BAR41" s="227"/>
      <c r="BAS41" s="228"/>
      <c r="BAT41" s="228"/>
      <c r="BAU41" s="228"/>
      <c r="BAV41" s="228"/>
      <c r="BAW41" s="228"/>
      <c r="BAX41" s="228"/>
      <c r="BAY41" s="226"/>
      <c r="BAZ41" s="226"/>
      <c r="BBA41" s="224"/>
      <c r="BBB41" s="225"/>
      <c r="BBC41" s="226"/>
      <c r="BBD41" s="227"/>
      <c r="BBE41" s="228"/>
      <c r="BBF41" s="228"/>
      <c r="BBG41" s="228"/>
      <c r="BBH41" s="228"/>
      <c r="BBI41" s="228"/>
      <c r="BBJ41" s="228"/>
      <c r="BBK41" s="226"/>
      <c r="BBL41" s="226"/>
      <c r="BBM41" s="224"/>
      <c r="BBN41" s="225"/>
      <c r="BBO41" s="226"/>
      <c r="BBP41" s="227"/>
      <c r="BBQ41" s="228"/>
      <c r="BBR41" s="228"/>
      <c r="BBS41" s="228"/>
      <c r="BBT41" s="228"/>
      <c r="BBU41" s="228"/>
      <c r="BBV41" s="228"/>
      <c r="BBW41" s="226"/>
      <c r="BBX41" s="226"/>
      <c r="BBY41" s="224"/>
      <c r="BBZ41" s="225"/>
      <c r="BCA41" s="226"/>
      <c r="BCB41" s="227"/>
      <c r="BCC41" s="228"/>
      <c r="BCD41" s="228"/>
      <c r="BCE41" s="228"/>
      <c r="BCF41" s="228"/>
      <c r="BCG41" s="228"/>
      <c r="BCH41" s="228"/>
      <c r="BCI41" s="226"/>
      <c r="BCJ41" s="226"/>
      <c r="BCK41" s="224"/>
      <c r="BCL41" s="225"/>
      <c r="BCM41" s="226"/>
      <c r="BCN41" s="227"/>
      <c r="BCO41" s="228"/>
      <c r="BCP41" s="228"/>
      <c r="BCQ41" s="228"/>
      <c r="BCR41" s="228"/>
      <c r="BCS41" s="228"/>
      <c r="BCT41" s="228"/>
      <c r="BCU41" s="226"/>
      <c r="BCV41" s="226"/>
      <c r="BCW41" s="224"/>
      <c r="BCX41" s="225"/>
      <c r="BCY41" s="226"/>
      <c r="BCZ41" s="227"/>
      <c r="BDA41" s="228"/>
      <c r="BDB41" s="228"/>
      <c r="BDC41" s="228"/>
      <c r="BDD41" s="228"/>
      <c r="BDE41" s="228"/>
      <c r="BDF41" s="228"/>
      <c r="BDG41" s="226"/>
      <c r="BDH41" s="226"/>
      <c r="BDI41" s="224"/>
      <c r="BDJ41" s="225"/>
      <c r="BDK41" s="226"/>
      <c r="BDL41" s="227"/>
      <c r="BDM41" s="228"/>
      <c r="BDN41" s="228"/>
      <c r="BDO41" s="228"/>
      <c r="BDP41" s="228"/>
      <c r="BDQ41" s="228"/>
      <c r="BDR41" s="228"/>
      <c r="BDS41" s="226"/>
      <c r="BDT41" s="226"/>
      <c r="BDU41" s="224"/>
      <c r="BDV41" s="225"/>
      <c r="BDW41" s="226"/>
      <c r="BDX41" s="227"/>
      <c r="BDY41" s="228"/>
      <c r="BDZ41" s="228"/>
      <c r="BEA41" s="228"/>
      <c r="BEB41" s="228"/>
      <c r="BEC41" s="228"/>
      <c r="BED41" s="228"/>
      <c r="BEE41" s="226"/>
      <c r="BEF41" s="226"/>
      <c r="BEG41" s="224"/>
      <c r="BEH41" s="225"/>
      <c r="BEI41" s="226"/>
      <c r="BEJ41" s="227"/>
      <c r="BEK41" s="228"/>
      <c r="BEL41" s="228"/>
      <c r="BEM41" s="228"/>
      <c r="BEN41" s="228"/>
      <c r="BEO41" s="228"/>
      <c r="BEP41" s="228"/>
      <c r="BEQ41" s="226"/>
      <c r="BER41" s="226"/>
      <c r="BES41" s="224"/>
      <c r="BET41" s="225"/>
      <c r="BEU41" s="226"/>
      <c r="BEV41" s="227"/>
      <c r="BEW41" s="228"/>
      <c r="BEX41" s="228"/>
      <c r="BEY41" s="228"/>
      <c r="BEZ41" s="228"/>
      <c r="BFA41" s="228"/>
      <c r="BFB41" s="228"/>
      <c r="BFC41" s="226"/>
      <c r="BFD41" s="226"/>
      <c r="BFE41" s="224"/>
      <c r="BFF41" s="225"/>
      <c r="BFG41" s="226"/>
      <c r="BFH41" s="227"/>
      <c r="BFI41" s="228"/>
      <c r="BFJ41" s="228"/>
      <c r="BFK41" s="228"/>
      <c r="BFL41" s="228"/>
      <c r="BFM41" s="228"/>
      <c r="BFN41" s="228"/>
      <c r="BFO41" s="226"/>
      <c r="BFP41" s="226"/>
      <c r="BFQ41" s="224"/>
      <c r="BFR41" s="225"/>
      <c r="BFS41" s="226"/>
      <c r="BFT41" s="227"/>
      <c r="BFU41" s="228"/>
      <c r="BFV41" s="228"/>
      <c r="BFW41" s="228"/>
      <c r="BFX41" s="228"/>
      <c r="BFY41" s="228"/>
      <c r="BFZ41" s="228"/>
      <c r="BGA41" s="226"/>
      <c r="BGB41" s="226"/>
      <c r="BGC41" s="224"/>
      <c r="BGD41" s="225"/>
      <c r="BGE41" s="226"/>
      <c r="BGF41" s="227"/>
      <c r="BGG41" s="228"/>
      <c r="BGH41" s="228"/>
      <c r="BGI41" s="228"/>
      <c r="BGJ41" s="228"/>
      <c r="BGK41" s="228"/>
      <c r="BGL41" s="228"/>
      <c r="BGM41" s="226"/>
      <c r="BGN41" s="226"/>
      <c r="BGO41" s="224"/>
      <c r="BGP41" s="225"/>
      <c r="BGQ41" s="226"/>
      <c r="BGR41" s="227"/>
      <c r="BGS41" s="228"/>
      <c r="BGT41" s="228"/>
      <c r="BGU41" s="228"/>
      <c r="BGV41" s="228"/>
      <c r="BGW41" s="228"/>
      <c r="BGX41" s="228"/>
      <c r="BGY41" s="226"/>
      <c r="BGZ41" s="226"/>
      <c r="BHA41" s="224"/>
      <c r="BHB41" s="225"/>
      <c r="BHC41" s="226"/>
      <c r="BHD41" s="227"/>
      <c r="BHE41" s="228"/>
      <c r="BHF41" s="228"/>
      <c r="BHG41" s="228"/>
      <c r="BHH41" s="228"/>
      <c r="BHI41" s="228"/>
      <c r="BHJ41" s="228"/>
      <c r="BHK41" s="226"/>
      <c r="BHL41" s="226"/>
      <c r="BHM41" s="224"/>
      <c r="BHN41" s="225"/>
      <c r="BHO41" s="226"/>
      <c r="BHP41" s="227"/>
      <c r="BHQ41" s="228"/>
      <c r="BHR41" s="228"/>
      <c r="BHS41" s="228"/>
      <c r="BHT41" s="228"/>
      <c r="BHU41" s="228"/>
      <c r="BHV41" s="228"/>
      <c r="BHW41" s="226"/>
      <c r="BHX41" s="226"/>
      <c r="BHY41" s="224"/>
      <c r="BHZ41" s="225"/>
      <c r="BIA41" s="226"/>
      <c r="BIB41" s="227"/>
      <c r="BIC41" s="228"/>
      <c r="BID41" s="228"/>
      <c r="BIE41" s="228"/>
      <c r="BIF41" s="228"/>
      <c r="BIG41" s="228"/>
      <c r="BIH41" s="228"/>
      <c r="BII41" s="226"/>
      <c r="BIJ41" s="226"/>
      <c r="BIK41" s="224"/>
      <c r="BIL41" s="225"/>
      <c r="BIM41" s="226"/>
      <c r="BIN41" s="227"/>
      <c r="BIO41" s="228"/>
      <c r="BIP41" s="228"/>
      <c r="BIQ41" s="228"/>
      <c r="BIR41" s="228"/>
      <c r="BIS41" s="228"/>
      <c r="BIT41" s="228"/>
      <c r="BIU41" s="226"/>
      <c r="BIV41" s="226"/>
      <c r="BIW41" s="224"/>
      <c r="BIX41" s="225"/>
      <c r="BIY41" s="226"/>
      <c r="BIZ41" s="227"/>
      <c r="BJA41" s="228"/>
      <c r="BJB41" s="228"/>
      <c r="BJC41" s="228"/>
      <c r="BJD41" s="228"/>
      <c r="BJE41" s="228"/>
      <c r="BJF41" s="228"/>
      <c r="BJG41" s="226"/>
      <c r="BJH41" s="226"/>
      <c r="BJI41" s="224"/>
      <c r="BJJ41" s="225"/>
      <c r="BJK41" s="226"/>
      <c r="BJL41" s="227"/>
      <c r="BJM41" s="228"/>
      <c r="BJN41" s="228"/>
      <c r="BJO41" s="228"/>
      <c r="BJP41" s="228"/>
      <c r="BJQ41" s="228"/>
      <c r="BJR41" s="228"/>
      <c r="BJS41" s="226"/>
      <c r="BJT41" s="226"/>
      <c r="BJU41" s="224"/>
      <c r="BJV41" s="225"/>
      <c r="BJW41" s="226"/>
      <c r="BJX41" s="227"/>
      <c r="BJY41" s="228"/>
      <c r="BJZ41" s="228"/>
      <c r="BKA41" s="228"/>
      <c r="BKB41" s="228"/>
      <c r="BKC41" s="228"/>
      <c r="BKD41" s="228"/>
      <c r="BKE41" s="226"/>
      <c r="BKF41" s="226"/>
      <c r="BKG41" s="224"/>
      <c r="BKH41" s="225"/>
      <c r="BKI41" s="226"/>
      <c r="BKJ41" s="227"/>
      <c r="BKK41" s="228"/>
      <c r="BKL41" s="228"/>
      <c r="BKM41" s="228"/>
      <c r="BKN41" s="228"/>
      <c r="BKO41" s="228"/>
      <c r="BKP41" s="228"/>
      <c r="BKQ41" s="226"/>
      <c r="BKR41" s="226"/>
      <c r="BKS41" s="224"/>
      <c r="BKT41" s="225"/>
      <c r="BKU41" s="226"/>
      <c r="BKV41" s="227"/>
      <c r="BKW41" s="228"/>
      <c r="BKX41" s="228"/>
      <c r="BKY41" s="228"/>
      <c r="BKZ41" s="228"/>
      <c r="BLA41" s="228"/>
      <c r="BLB41" s="228"/>
      <c r="BLC41" s="226"/>
      <c r="BLD41" s="226"/>
      <c r="BLE41" s="224"/>
      <c r="BLF41" s="225"/>
      <c r="BLG41" s="226"/>
      <c r="BLH41" s="227"/>
      <c r="BLI41" s="228"/>
      <c r="BLJ41" s="228"/>
      <c r="BLK41" s="228"/>
      <c r="BLL41" s="228"/>
      <c r="BLM41" s="228"/>
      <c r="BLN41" s="228"/>
      <c r="BLO41" s="226"/>
      <c r="BLP41" s="226"/>
      <c r="BLQ41" s="224"/>
      <c r="BLR41" s="225"/>
      <c r="BLS41" s="226"/>
      <c r="BLT41" s="227"/>
      <c r="BLU41" s="228"/>
      <c r="BLV41" s="228"/>
      <c r="BLW41" s="228"/>
      <c r="BLX41" s="228"/>
      <c r="BLY41" s="228"/>
      <c r="BLZ41" s="228"/>
      <c r="BMA41" s="226"/>
      <c r="BMB41" s="226"/>
      <c r="BMC41" s="224"/>
      <c r="BMD41" s="225"/>
      <c r="BME41" s="226"/>
      <c r="BMF41" s="227"/>
      <c r="BMG41" s="228"/>
      <c r="BMH41" s="228"/>
      <c r="BMI41" s="228"/>
      <c r="BMJ41" s="228"/>
      <c r="BMK41" s="228"/>
      <c r="BML41" s="228"/>
      <c r="BMM41" s="226"/>
      <c r="BMN41" s="226"/>
      <c r="BMO41" s="224"/>
      <c r="BMP41" s="225"/>
      <c r="BMQ41" s="226"/>
      <c r="BMR41" s="227"/>
      <c r="BMS41" s="228"/>
      <c r="BMT41" s="228"/>
      <c r="BMU41" s="228"/>
      <c r="BMV41" s="228"/>
      <c r="BMW41" s="228"/>
      <c r="BMX41" s="228"/>
      <c r="BMY41" s="226"/>
      <c r="BMZ41" s="226"/>
      <c r="BNA41" s="224"/>
      <c r="BNB41" s="225"/>
      <c r="BNC41" s="226"/>
      <c r="BND41" s="227"/>
      <c r="BNE41" s="228"/>
      <c r="BNF41" s="228"/>
      <c r="BNG41" s="228"/>
      <c r="BNH41" s="228"/>
      <c r="BNI41" s="228"/>
      <c r="BNJ41" s="228"/>
      <c r="BNK41" s="226"/>
      <c r="BNL41" s="226"/>
      <c r="BNM41" s="224"/>
      <c r="BNN41" s="225"/>
      <c r="BNO41" s="226"/>
      <c r="BNP41" s="227"/>
      <c r="BNQ41" s="228"/>
      <c r="BNR41" s="228"/>
      <c r="BNS41" s="228"/>
      <c r="BNT41" s="228"/>
      <c r="BNU41" s="228"/>
      <c r="BNV41" s="228"/>
      <c r="BNW41" s="226"/>
      <c r="BNX41" s="226"/>
      <c r="BNY41" s="224"/>
      <c r="BNZ41" s="225"/>
      <c r="BOA41" s="226"/>
      <c r="BOB41" s="227"/>
      <c r="BOC41" s="228"/>
      <c r="BOD41" s="228"/>
      <c r="BOE41" s="228"/>
      <c r="BOF41" s="228"/>
      <c r="BOG41" s="228"/>
      <c r="BOH41" s="228"/>
      <c r="BOI41" s="226"/>
      <c r="BOJ41" s="226"/>
      <c r="BOK41" s="224"/>
      <c r="BOL41" s="225"/>
      <c r="BOM41" s="226"/>
      <c r="BON41" s="227"/>
      <c r="BOO41" s="228"/>
      <c r="BOP41" s="228"/>
      <c r="BOQ41" s="228"/>
      <c r="BOR41" s="228"/>
      <c r="BOS41" s="228"/>
      <c r="BOT41" s="228"/>
      <c r="BOU41" s="226"/>
      <c r="BOV41" s="226"/>
      <c r="BOW41" s="224"/>
      <c r="BOX41" s="225"/>
      <c r="BOY41" s="226"/>
      <c r="BOZ41" s="227"/>
      <c r="BPA41" s="228"/>
      <c r="BPB41" s="228"/>
      <c r="BPC41" s="228"/>
      <c r="BPD41" s="228"/>
      <c r="BPE41" s="228"/>
      <c r="BPF41" s="228"/>
      <c r="BPG41" s="226"/>
      <c r="BPH41" s="226"/>
      <c r="BPI41" s="224"/>
      <c r="BPJ41" s="225"/>
      <c r="BPK41" s="226"/>
      <c r="BPL41" s="227"/>
      <c r="BPM41" s="228"/>
      <c r="BPN41" s="228"/>
      <c r="BPO41" s="228"/>
      <c r="BPP41" s="228"/>
      <c r="BPQ41" s="228"/>
      <c r="BPR41" s="228"/>
      <c r="BPS41" s="226"/>
      <c r="BPT41" s="226"/>
      <c r="BPU41" s="224"/>
      <c r="BPV41" s="225"/>
      <c r="BPW41" s="226"/>
      <c r="BPX41" s="227"/>
      <c r="BPY41" s="228"/>
      <c r="BPZ41" s="228"/>
      <c r="BQA41" s="228"/>
      <c r="BQB41" s="228"/>
      <c r="BQC41" s="228"/>
      <c r="BQD41" s="228"/>
      <c r="BQE41" s="226"/>
      <c r="BQF41" s="226"/>
      <c r="BQG41" s="224"/>
      <c r="BQH41" s="225"/>
      <c r="BQI41" s="226"/>
      <c r="BQJ41" s="227"/>
      <c r="BQK41" s="228"/>
      <c r="BQL41" s="228"/>
      <c r="BQM41" s="228"/>
      <c r="BQN41" s="228"/>
      <c r="BQO41" s="228"/>
      <c r="BQP41" s="228"/>
      <c r="BQQ41" s="226"/>
      <c r="BQR41" s="226"/>
      <c r="BQS41" s="224"/>
      <c r="BQT41" s="225"/>
      <c r="BQU41" s="226"/>
      <c r="BQV41" s="227"/>
      <c r="BQW41" s="228"/>
      <c r="BQX41" s="228"/>
      <c r="BQY41" s="228"/>
      <c r="BQZ41" s="228"/>
      <c r="BRA41" s="228"/>
      <c r="BRB41" s="228"/>
      <c r="BRC41" s="226"/>
      <c r="BRD41" s="226"/>
      <c r="BRE41" s="224"/>
      <c r="BRF41" s="225"/>
      <c r="BRG41" s="226"/>
      <c r="BRH41" s="227"/>
      <c r="BRI41" s="228"/>
      <c r="BRJ41" s="228"/>
      <c r="BRK41" s="228"/>
      <c r="BRL41" s="228"/>
      <c r="BRM41" s="228"/>
      <c r="BRN41" s="228"/>
      <c r="BRO41" s="226"/>
      <c r="BRP41" s="226"/>
      <c r="BRQ41" s="224"/>
      <c r="BRR41" s="225"/>
      <c r="BRS41" s="226"/>
      <c r="BRT41" s="227"/>
      <c r="BRU41" s="228"/>
      <c r="BRV41" s="228"/>
      <c r="BRW41" s="228"/>
      <c r="BRX41" s="228"/>
      <c r="BRY41" s="228"/>
      <c r="BRZ41" s="228"/>
      <c r="BSA41" s="226"/>
      <c r="BSB41" s="226"/>
      <c r="BSC41" s="224"/>
      <c r="BSD41" s="225"/>
      <c r="BSE41" s="226"/>
      <c r="BSF41" s="227"/>
      <c r="BSG41" s="228"/>
      <c r="BSH41" s="228"/>
      <c r="BSI41" s="228"/>
      <c r="BSJ41" s="228"/>
      <c r="BSK41" s="228"/>
      <c r="BSL41" s="228"/>
      <c r="BSM41" s="226"/>
      <c r="BSN41" s="226"/>
      <c r="BSO41" s="224"/>
      <c r="BSP41" s="225"/>
      <c r="BSQ41" s="226"/>
      <c r="BSR41" s="227"/>
      <c r="BSS41" s="228"/>
      <c r="BST41" s="228"/>
      <c r="BSU41" s="228"/>
      <c r="BSV41" s="228"/>
      <c r="BSW41" s="228"/>
      <c r="BSX41" s="228"/>
      <c r="BSY41" s="226"/>
      <c r="BSZ41" s="226"/>
      <c r="BTA41" s="224"/>
      <c r="BTB41" s="225"/>
      <c r="BTC41" s="226"/>
      <c r="BTD41" s="227"/>
      <c r="BTE41" s="228"/>
      <c r="BTF41" s="228"/>
      <c r="BTG41" s="228"/>
      <c r="BTH41" s="228"/>
      <c r="BTI41" s="228"/>
      <c r="BTJ41" s="228"/>
      <c r="BTK41" s="226"/>
      <c r="BTL41" s="226"/>
      <c r="BTM41" s="224"/>
      <c r="BTN41" s="225"/>
      <c r="BTO41" s="226"/>
      <c r="BTP41" s="227"/>
      <c r="BTQ41" s="228"/>
      <c r="BTR41" s="228"/>
      <c r="BTS41" s="228"/>
      <c r="BTT41" s="228"/>
      <c r="BTU41" s="228"/>
      <c r="BTV41" s="228"/>
      <c r="BTW41" s="226"/>
      <c r="BTX41" s="226"/>
      <c r="BTY41" s="224"/>
      <c r="BTZ41" s="225"/>
      <c r="BUA41" s="226"/>
      <c r="BUB41" s="227"/>
      <c r="BUC41" s="228"/>
      <c r="BUD41" s="228"/>
      <c r="BUE41" s="228"/>
      <c r="BUF41" s="228"/>
      <c r="BUG41" s="228"/>
      <c r="BUH41" s="228"/>
      <c r="BUI41" s="226"/>
      <c r="BUJ41" s="226"/>
      <c r="BUK41" s="224"/>
      <c r="BUL41" s="225"/>
      <c r="BUM41" s="226"/>
      <c r="BUN41" s="227"/>
      <c r="BUO41" s="228"/>
      <c r="BUP41" s="228"/>
      <c r="BUQ41" s="228"/>
      <c r="BUR41" s="228"/>
      <c r="BUS41" s="228"/>
      <c r="BUT41" s="228"/>
      <c r="BUU41" s="226"/>
      <c r="BUV41" s="226"/>
      <c r="BUW41" s="224"/>
      <c r="BUX41" s="225"/>
      <c r="BUY41" s="226"/>
      <c r="BUZ41" s="227"/>
      <c r="BVA41" s="228"/>
      <c r="BVB41" s="228"/>
      <c r="BVC41" s="228"/>
      <c r="BVD41" s="228"/>
      <c r="BVE41" s="228"/>
      <c r="BVF41" s="228"/>
      <c r="BVG41" s="226"/>
      <c r="BVH41" s="226"/>
      <c r="BVI41" s="224"/>
      <c r="BVJ41" s="225"/>
      <c r="BVK41" s="226"/>
      <c r="BVL41" s="227"/>
      <c r="BVM41" s="228"/>
      <c r="BVN41" s="228"/>
      <c r="BVO41" s="228"/>
      <c r="BVP41" s="228"/>
      <c r="BVQ41" s="228"/>
      <c r="BVR41" s="228"/>
      <c r="BVS41" s="226"/>
      <c r="BVT41" s="226"/>
      <c r="BVU41" s="224"/>
      <c r="BVV41" s="225"/>
      <c r="BVW41" s="226"/>
      <c r="BVX41" s="227"/>
      <c r="BVY41" s="228"/>
      <c r="BVZ41" s="228"/>
      <c r="BWA41" s="228"/>
      <c r="BWB41" s="228"/>
      <c r="BWC41" s="228"/>
      <c r="BWD41" s="228"/>
      <c r="BWE41" s="226"/>
      <c r="BWF41" s="226"/>
      <c r="BWG41" s="224"/>
      <c r="BWH41" s="225"/>
      <c r="BWI41" s="226"/>
      <c r="BWJ41" s="227"/>
      <c r="BWK41" s="228"/>
      <c r="BWL41" s="228"/>
      <c r="BWM41" s="228"/>
      <c r="BWN41" s="228"/>
      <c r="BWO41" s="228"/>
      <c r="BWP41" s="228"/>
      <c r="BWQ41" s="226"/>
      <c r="BWR41" s="226"/>
      <c r="BWS41" s="224"/>
      <c r="BWT41" s="225"/>
      <c r="BWU41" s="226"/>
      <c r="BWV41" s="227"/>
      <c r="BWW41" s="228"/>
      <c r="BWX41" s="228"/>
      <c r="BWY41" s="228"/>
      <c r="BWZ41" s="228"/>
      <c r="BXA41" s="228"/>
      <c r="BXB41" s="228"/>
      <c r="BXC41" s="226"/>
      <c r="BXD41" s="226"/>
      <c r="BXE41" s="224"/>
      <c r="BXF41" s="225"/>
      <c r="BXG41" s="226"/>
      <c r="BXH41" s="227"/>
      <c r="BXI41" s="228"/>
      <c r="BXJ41" s="228"/>
      <c r="BXK41" s="228"/>
      <c r="BXL41" s="228"/>
      <c r="BXM41" s="228"/>
      <c r="BXN41" s="228"/>
      <c r="BXO41" s="226"/>
      <c r="BXP41" s="226"/>
      <c r="BXQ41" s="224"/>
      <c r="BXR41" s="225"/>
      <c r="BXS41" s="226"/>
      <c r="BXT41" s="227"/>
      <c r="BXU41" s="228"/>
      <c r="BXV41" s="228"/>
      <c r="BXW41" s="228"/>
      <c r="BXX41" s="228"/>
      <c r="BXY41" s="228"/>
      <c r="BXZ41" s="228"/>
      <c r="BYA41" s="226"/>
      <c r="BYB41" s="226"/>
      <c r="BYC41" s="224"/>
      <c r="BYD41" s="225"/>
      <c r="BYE41" s="226"/>
      <c r="BYF41" s="227"/>
      <c r="BYG41" s="228"/>
      <c r="BYH41" s="228"/>
      <c r="BYI41" s="228"/>
      <c r="BYJ41" s="228"/>
      <c r="BYK41" s="228"/>
      <c r="BYL41" s="228"/>
      <c r="BYM41" s="226"/>
      <c r="BYN41" s="226"/>
      <c r="BYO41" s="224"/>
      <c r="BYP41" s="225"/>
      <c r="BYQ41" s="226"/>
      <c r="BYR41" s="227"/>
      <c r="BYS41" s="228"/>
      <c r="BYT41" s="228"/>
      <c r="BYU41" s="228"/>
      <c r="BYV41" s="228"/>
      <c r="BYW41" s="228"/>
      <c r="BYX41" s="228"/>
      <c r="BYY41" s="226"/>
      <c r="BYZ41" s="226"/>
      <c r="BZA41" s="224"/>
      <c r="BZB41" s="225"/>
      <c r="BZC41" s="226"/>
      <c r="BZD41" s="227"/>
      <c r="BZE41" s="228"/>
      <c r="BZF41" s="228"/>
      <c r="BZG41" s="228"/>
      <c r="BZH41" s="228"/>
      <c r="BZI41" s="228"/>
      <c r="BZJ41" s="228"/>
      <c r="BZK41" s="226"/>
      <c r="BZL41" s="226"/>
      <c r="BZM41" s="224"/>
      <c r="BZN41" s="225"/>
      <c r="BZO41" s="226"/>
      <c r="BZP41" s="227"/>
      <c r="BZQ41" s="228"/>
      <c r="BZR41" s="228"/>
      <c r="BZS41" s="228"/>
      <c r="BZT41" s="228"/>
      <c r="BZU41" s="228"/>
      <c r="BZV41" s="228"/>
      <c r="BZW41" s="226"/>
      <c r="BZX41" s="226"/>
      <c r="BZY41" s="224"/>
      <c r="BZZ41" s="225"/>
      <c r="CAA41" s="226"/>
      <c r="CAB41" s="227"/>
      <c r="CAC41" s="228"/>
      <c r="CAD41" s="228"/>
      <c r="CAE41" s="228"/>
      <c r="CAF41" s="228"/>
      <c r="CAG41" s="228"/>
      <c r="CAH41" s="228"/>
      <c r="CAI41" s="226"/>
      <c r="CAJ41" s="226"/>
      <c r="CAK41" s="224"/>
      <c r="CAL41" s="225"/>
      <c r="CAM41" s="226"/>
      <c r="CAN41" s="227"/>
      <c r="CAO41" s="228"/>
      <c r="CAP41" s="228"/>
      <c r="CAQ41" s="228"/>
      <c r="CAR41" s="228"/>
      <c r="CAS41" s="228"/>
      <c r="CAT41" s="228"/>
      <c r="CAU41" s="226"/>
      <c r="CAV41" s="226"/>
      <c r="CAW41" s="224"/>
      <c r="CAX41" s="225"/>
      <c r="CAY41" s="226"/>
      <c r="CAZ41" s="227"/>
      <c r="CBA41" s="228"/>
      <c r="CBB41" s="228"/>
      <c r="CBC41" s="228"/>
      <c r="CBD41" s="228"/>
      <c r="CBE41" s="228"/>
      <c r="CBF41" s="228"/>
      <c r="CBG41" s="226"/>
      <c r="CBH41" s="226"/>
      <c r="CBI41" s="224"/>
      <c r="CBJ41" s="225"/>
      <c r="CBK41" s="226"/>
      <c r="CBL41" s="227"/>
      <c r="CBM41" s="228"/>
      <c r="CBN41" s="228"/>
      <c r="CBO41" s="228"/>
      <c r="CBP41" s="228"/>
      <c r="CBQ41" s="228"/>
      <c r="CBR41" s="228"/>
      <c r="CBS41" s="226"/>
      <c r="CBT41" s="226"/>
      <c r="CBU41" s="224"/>
      <c r="CBV41" s="225"/>
      <c r="CBW41" s="226"/>
      <c r="CBX41" s="227"/>
      <c r="CBY41" s="228"/>
      <c r="CBZ41" s="228"/>
      <c r="CCA41" s="228"/>
      <c r="CCB41" s="228"/>
      <c r="CCC41" s="228"/>
      <c r="CCD41" s="228"/>
      <c r="CCE41" s="226"/>
      <c r="CCF41" s="226"/>
      <c r="CCG41" s="224"/>
      <c r="CCH41" s="225"/>
      <c r="CCI41" s="226"/>
      <c r="CCJ41" s="227"/>
      <c r="CCK41" s="228"/>
      <c r="CCL41" s="228"/>
      <c r="CCM41" s="228"/>
      <c r="CCN41" s="228"/>
      <c r="CCO41" s="228"/>
      <c r="CCP41" s="228"/>
      <c r="CCQ41" s="226"/>
      <c r="CCR41" s="226"/>
      <c r="CCS41" s="224"/>
      <c r="CCT41" s="225"/>
      <c r="CCU41" s="226"/>
      <c r="CCV41" s="227"/>
      <c r="CCW41" s="228"/>
      <c r="CCX41" s="228"/>
      <c r="CCY41" s="228"/>
      <c r="CCZ41" s="228"/>
      <c r="CDA41" s="228"/>
      <c r="CDB41" s="228"/>
      <c r="CDC41" s="226"/>
      <c r="CDD41" s="226"/>
      <c r="CDE41" s="224"/>
      <c r="CDF41" s="225"/>
      <c r="CDG41" s="226"/>
      <c r="CDH41" s="227"/>
      <c r="CDI41" s="228"/>
      <c r="CDJ41" s="228"/>
      <c r="CDK41" s="228"/>
      <c r="CDL41" s="228"/>
      <c r="CDM41" s="228"/>
      <c r="CDN41" s="228"/>
      <c r="CDO41" s="226"/>
      <c r="CDP41" s="226"/>
      <c r="CDQ41" s="224"/>
      <c r="CDR41" s="225"/>
      <c r="CDS41" s="226"/>
      <c r="CDT41" s="227"/>
      <c r="CDU41" s="228"/>
      <c r="CDV41" s="228"/>
      <c r="CDW41" s="228"/>
      <c r="CDX41" s="228"/>
      <c r="CDY41" s="228"/>
      <c r="CDZ41" s="228"/>
      <c r="CEA41" s="226"/>
      <c r="CEB41" s="226"/>
      <c r="CEC41" s="224"/>
      <c r="CED41" s="225"/>
      <c r="CEE41" s="226"/>
      <c r="CEF41" s="227"/>
      <c r="CEG41" s="228"/>
      <c r="CEH41" s="228"/>
      <c r="CEI41" s="228"/>
      <c r="CEJ41" s="228"/>
      <c r="CEK41" s="228"/>
      <c r="CEL41" s="228"/>
      <c r="CEM41" s="226"/>
      <c r="CEN41" s="226"/>
      <c r="CEO41" s="224"/>
      <c r="CEP41" s="225"/>
      <c r="CEQ41" s="226"/>
      <c r="CER41" s="227"/>
      <c r="CES41" s="228"/>
      <c r="CET41" s="228"/>
      <c r="CEU41" s="228"/>
      <c r="CEV41" s="228"/>
      <c r="CEW41" s="228"/>
      <c r="CEX41" s="228"/>
      <c r="CEY41" s="226"/>
      <c r="CEZ41" s="226"/>
      <c r="CFA41" s="224"/>
      <c r="CFB41" s="225"/>
      <c r="CFC41" s="226"/>
      <c r="CFD41" s="227"/>
      <c r="CFE41" s="228"/>
      <c r="CFF41" s="228"/>
      <c r="CFG41" s="228"/>
      <c r="CFH41" s="228"/>
      <c r="CFI41" s="228"/>
      <c r="CFJ41" s="228"/>
      <c r="CFK41" s="226"/>
      <c r="CFL41" s="226"/>
      <c r="CFM41" s="224"/>
      <c r="CFN41" s="225"/>
      <c r="CFO41" s="226"/>
      <c r="CFP41" s="227"/>
      <c r="CFQ41" s="228"/>
      <c r="CFR41" s="228"/>
      <c r="CFS41" s="228"/>
      <c r="CFT41" s="228"/>
      <c r="CFU41" s="228"/>
      <c r="CFV41" s="228"/>
      <c r="CFW41" s="226"/>
      <c r="CFX41" s="226"/>
      <c r="CFY41" s="224"/>
      <c r="CFZ41" s="225"/>
      <c r="CGA41" s="226"/>
      <c r="CGB41" s="227"/>
      <c r="CGC41" s="228"/>
      <c r="CGD41" s="228"/>
      <c r="CGE41" s="228"/>
      <c r="CGF41" s="228"/>
      <c r="CGG41" s="228"/>
      <c r="CGH41" s="228"/>
      <c r="CGI41" s="226"/>
      <c r="CGJ41" s="226"/>
      <c r="CGK41" s="224"/>
      <c r="CGL41" s="225"/>
      <c r="CGM41" s="226"/>
      <c r="CGN41" s="227"/>
      <c r="CGO41" s="228"/>
      <c r="CGP41" s="228"/>
      <c r="CGQ41" s="228"/>
      <c r="CGR41" s="228"/>
      <c r="CGS41" s="228"/>
      <c r="CGT41" s="228"/>
      <c r="CGU41" s="226"/>
      <c r="CGV41" s="226"/>
      <c r="CGW41" s="224"/>
      <c r="CGX41" s="225"/>
      <c r="CGY41" s="226"/>
      <c r="CGZ41" s="227"/>
      <c r="CHA41" s="228"/>
      <c r="CHB41" s="228"/>
      <c r="CHC41" s="228"/>
      <c r="CHD41" s="228"/>
      <c r="CHE41" s="228"/>
      <c r="CHF41" s="228"/>
      <c r="CHG41" s="226"/>
      <c r="CHH41" s="226"/>
      <c r="CHI41" s="224"/>
      <c r="CHJ41" s="225"/>
      <c r="CHK41" s="226"/>
      <c r="CHL41" s="227"/>
      <c r="CHM41" s="228"/>
      <c r="CHN41" s="228"/>
      <c r="CHO41" s="228"/>
      <c r="CHP41" s="228"/>
      <c r="CHQ41" s="228"/>
      <c r="CHR41" s="228"/>
      <c r="CHS41" s="226"/>
      <c r="CHT41" s="226"/>
      <c r="CHU41" s="224"/>
      <c r="CHV41" s="225"/>
      <c r="CHW41" s="226"/>
      <c r="CHX41" s="227"/>
      <c r="CHY41" s="228"/>
      <c r="CHZ41" s="228"/>
      <c r="CIA41" s="228"/>
      <c r="CIB41" s="228"/>
      <c r="CIC41" s="228"/>
      <c r="CID41" s="228"/>
      <c r="CIE41" s="226"/>
      <c r="CIF41" s="226"/>
      <c r="CIG41" s="224"/>
      <c r="CIH41" s="225"/>
      <c r="CII41" s="226"/>
      <c r="CIJ41" s="227"/>
      <c r="CIK41" s="228"/>
      <c r="CIL41" s="228"/>
      <c r="CIM41" s="228"/>
      <c r="CIN41" s="228"/>
      <c r="CIO41" s="228"/>
      <c r="CIP41" s="228"/>
      <c r="CIQ41" s="226"/>
      <c r="CIR41" s="226"/>
      <c r="CIS41" s="224"/>
      <c r="CIT41" s="225"/>
      <c r="CIU41" s="226"/>
      <c r="CIV41" s="227"/>
      <c r="CIW41" s="228"/>
      <c r="CIX41" s="228"/>
      <c r="CIY41" s="228"/>
      <c r="CIZ41" s="228"/>
      <c r="CJA41" s="228"/>
      <c r="CJB41" s="228"/>
      <c r="CJC41" s="226"/>
      <c r="CJD41" s="226"/>
      <c r="CJE41" s="224"/>
      <c r="CJF41" s="225"/>
      <c r="CJG41" s="226"/>
      <c r="CJH41" s="227"/>
      <c r="CJI41" s="228"/>
      <c r="CJJ41" s="228"/>
      <c r="CJK41" s="228"/>
      <c r="CJL41" s="228"/>
      <c r="CJM41" s="228"/>
      <c r="CJN41" s="228"/>
      <c r="CJO41" s="226"/>
      <c r="CJP41" s="226"/>
      <c r="CJQ41" s="224"/>
      <c r="CJR41" s="225"/>
      <c r="CJS41" s="226"/>
      <c r="CJT41" s="227"/>
      <c r="CJU41" s="228"/>
      <c r="CJV41" s="228"/>
      <c r="CJW41" s="228"/>
      <c r="CJX41" s="228"/>
      <c r="CJY41" s="228"/>
      <c r="CJZ41" s="228"/>
      <c r="CKA41" s="226"/>
      <c r="CKB41" s="226"/>
      <c r="CKC41" s="224"/>
      <c r="CKD41" s="225"/>
      <c r="CKE41" s="226"/>
      <c r="CKF41" s="227"/>
      <c r="CKG41" s="228"/>
      <c r="CKH41" s="228"/>
      <c r="CKI41" s="228"/>
      <c r="CKJ41" s="228"/>
      <c r="CKK41" s="228"/>
      <c r="CKL41" s="228"/>
      <c r="CKM41" s="226"/>
      <c r="CKN41" s="226"/>
      <c r="CKO41" s="224"/>
      <c r="CKP41" s="225"/>
      <c r="CKQ41" s="226"/>
      <c r="CKR41" s="227"/>
      <c r="CKS41" s="228"/>
      <c r="CKT41" s="228"/>
      <c r="CKU41" s="228"/>
      <c r="CKV41" s="228"/>
      <c r="CKW41" s="228"/>
      <c r="CKX41" s="228"/>
      <c r="CKY41" s="226"/>
      <c r="CKZ41" s="226"/>
      <c r="CLA41" s="224"/>
      <c r="CLB41" s="225"/>
      <c r="CLC41" s="226"/>
      <c r="CLD41" s="227"/>
      <c r="CLE41" s="228"/>
      <c r="CLF41" s="228"/>
      <c r="CLG41" s="228"/>
      <c r="CLH41" s="228"/>
      <c r="CLI41" s="228"/>
      <c r="CLJ41" s="228"/>
      <c r="CLK41" s="226"/>
      <c r="CLL41" s="226"/>
      <c r="CLM41" s="224"/>
      <c r="CLN41" s="225"/>
      <c r="CLO41" s="226"/>
      <c r="CLP41" s="227"/>
      <c r="CLQ41" s="228"/>
      <c r="CLR41" s="228"/>
      <c r="CLS41" s="228"/>
      <c r="CLT41" s="228"/>
      <c r="CLU41" s="228"/>
      <c r="CLV41" s="228"/>
      <c r="CLW41" s="226"/>
      <c r="CLX41" s="226"/>
      <c r="CLY41" s="224"/>
      <c r="CLZ41" s="225"/>
      <c r="CMA41" s="226"/>
      <c r="CMB41" s="227"/>
      <c r="CMC41" s="228"/>
      <c r="CMD41" s="228"/>
      <c r="CME41" s="228"/>
      <c r="CMF41" s="228"/>
      <c r="CMG41" s="228"/>
      <c r="CMH41" s="228"/>
      <c r="CMI41" s="226"/>
      <c r="CMJ41" s="226"/>
      <c r="CMK41" s="224"/>
      <c r="CML41" s="225"/>
      <c r="CMM41" s="226"/>
      <c r="CMN41" s="227"/>
      <c r="CMO41" s="228"/>
      <c r="CMP41" s="228"/>
      <c r="CMQ41" s="228"/>
      <c r="CMR41" s="228"/>
      <c r="CMS41" s="228"/>
      <c r="CMT41" s="228"/>
      <c r="CMU41" s="226"/>
      <c r="CMV41" s="226"/>
      <c r="CMW41" s="224"/>
      <c r="CMX41" s="225"/>
      <c r="CMY41" s="226"/>
      <c r="CMZ41" s="227"/>
      <c r="CNA41" s="228"/>
      <c r="CNB41" s="228"/>
      <c r="CNC41" s="228"/>
      <c r="CND41" s="228"/>
      <c r="CNE41" s="228"/>
      <c r="CNF41" s="228"/>
      <c r="CNG41" s="226"/>
      <c r="CNH41" s="226"/>
      <c r="CNI41" s="224"/>
      <c r="CNJ41" s="225"/>
      <c r="CNK41" s="226"/>
      <c r="CNL41" s="227"/>
      <c r="CNM41" s="228"/>
      <c r="CNN41" s="228"/>
      <c r="CNO41" s="228"/>
      <c r="CNP41" s="228"/>
      <c r="CNQ41" s="228"/>
      <c r="CNR41" s="228"/>
      <c r="CNS41" s="226"/>
      <c r="CNT41" s="226"/>
      <c r="CNU41" s="224"/>
      <c r="CNV41" s="225"/>
      <c r="CNW41" s="226"/>
      <c r="CNX41" s="227"/>
      <c r="CNY41" s="228"/>
      <c r="CNZ41" s="228"/>
      <c r="COA41" s="228"/>
      <c r="COB41" s="228"/>
      <c r="COC41" s="228"/>
      <c r="COD41" s="228"/>
      <c r="COE41" s="226"/>
      <c r="COF41" s="226"/>
      <c r="COG41" s="224"/>
      <c r="COH41" s="225"/>
      <c r="COI41" s="226"/>
      <c r="COJ41" s="227"/>
      <c r="COK41" s="228"/>
      <c r="COL41" s="228"/>
      <c r="COM41" s="228"/>
      <c r="CON41" s="228"/>
      <c r="COO41" s="228"/>
      <c r="COP41" s="228"/>
      <c r="COQ41" s="226"/>
      <c r="COR41" s="226"/>
      <c r="COS41" s="224"/>
      <c r="COT41" s="225"/>
      <c r="COU41" s="226"/>
      <c r="COV41" s="227"/>
      <c r="COW41" s="228"/>
      <c r="COX41" s="228"/>
      <c r="COY41" s="228"/>
      <c r="COZ41" s="228"/>
      <c r="CPA41" s="228"/>
      <c r="CPB41" s="228"/>
      <c r="CPC41" s="226"/>
      <c r="CPD41" s="226"/>
      <c r="CPE41" s="224"/>
      <c r="CPF41" s="225"/>
      <c r="CPG41" s="226"/>
      <c r="CPH41" s="227"/>
      <c r="CPI41" s="228"/>
      <c r="CPJ41" s="228"/>
      <c r="CPK41" s="228"/>
      <c r="CPL41" s="228"/>
      <c r="CPM41" s="228"/>
      <c r="CPN41" s="228"/>
      <c r="CPO41" s="226"/>
      <c r="CPP41" s="226"/>
      <c r="CPQ41" s="224"/>
      <c r="CPR41" s="225"/>
      <c r="CPS41" s="226"/>
      <c r="CPT41" s="227"/>
      <c r="CPU41" s="228"/>
      <c r="CPV41" s="228"/>
      <c r="CPW41" s="228"/>
      <c r="CPX41" s="228"/>
      <c r="CPY41" s="228"/>
      <c r="CPZ41" s="228"/>
      <c r="CQA41" s="226"/>
      <c r="CQB41" s="226"/>
      <c r="CQC41" s="224"/>
      <c r="CQD41" s="225"/>
      <c r="CQE41" s="226"/>
      <c r="CQF41" s="227"/>
      <c r="CQG41" s="228"/>
      <c r="CQH41" s="228"/>
      <c r="CQI41" s="228"/>
      <c r="CQJ41" s="228"/>
      <c r="CQK41" s="228"/>
      <c r="CQL41" s="228"/>
      <c r="CQM41" s="226"/>
      <c r="CQN41" s="226"/>
      <c r="CQO41" s="224"/>
      <c r="CQP41" s="225"/>
      <c r="CQQ41" s="226"/>
      <c r="CQR41" s="227"/>
      <c r="CQS41" s="228"/>
      <c r="CQT41" s="228"/>
      <c r="CQU41" s="228"/>
      <c r="CQV41" s="228"/>
      <c r="CQW41" s="228"/>
      <c r="CQX41" s="228"/>
      <c r="CQY41" s="226"/>
      <c r="CQZ41" s="226"/>
      <c r="CRA41" s="224"/>
      <c r="CRB41" s="225"/>
      <c r="CRC41" s="226"/>
      <c r="CRD41" s="227"/>
      <c r="CRE41" s="228"/>
      <c r="CRF41" s="228"/>
      <c r="CRG41" s="228"/>
      <c r="CRH41" s="228"/>
      <c r="CRI41" s="228"/>
      <c r="CRJ41" s="228"/>
      <c r="CRK41" s="226"/>
      <c r="CRL41" s="226"/>
      <c r="CRM41" s="224"/>
      <c r="CRN41" s="225"/>
      <c r="CRO41" s="226"/>
      <c r="CRP41" s="227"/>
      <c r="CRQ41" s="228"/>
      <c r="CRR41" s="228"/>
      <c r="CRS41" s="228"/>
      <c r="CRT41" s="228"/>
      <c r="CRU41" s="228"/>
      <c r="CRV41" s="228"/>
      <c r="CRW41" s="226"/>
      <c r="CRX41" s="226"/>
      <c r="CRY41" s="224"/>
      <c r="CRZ41" s="225"/>
      <c r="CSA41" s="226"/>
      <c r="CSB41" s="227"/>
      <c r="CSC41" s="228"/>
      <c r="CSD41" s="228"/>
      <c r="CSE41" s="228"/>
      <c r="CSF41" s="228"/>
      <c r="CSG41" s="228"/>
      <c r="CSH41" s="228"/>
      <c r="CSI41" s="226"/>
      <c r="CSJ41" s="226"/>
      <c r="CSK41" s="224"/>
      <c r="CSL41" s="225"/>
      <c r="CSM41" s="226"/>
      <c r="CSN41" s="227"/>
      <c r="CSO41" s="228"/>
      <c r="CSP41" s="228"/>
      <c r="CSQ41" s="228"/>
      <c r="CSR41" s="228"/>
      <c r="CSS41" s="228"/>
      <c r="CST41" s="228"/>
      <c r="CSU41" s="226"/>
      <c r="CSV41" s="226"/>
      <c r="CSW41" s="224"/>
      <c r="CSX41" s="225"/>
      <c r="CSY41" s="226"/>
      <c r="CSZ41" s="227"/>
      <c r="CTA41" s="228"/>
      <c r="CTB41" s="228"/>
      <c r="CTC41" s="228"/>
      <c r="CTD41" s="228"/>
      <c r="CTE41" s="228"/>
      <c r="CTF41" s="228"/>
      <c r="CTG41" s="226"/>
      <c r="CTH41" s="226"/>
      <c r="CTI41" s="224"/>
      <c r="CTJ41" s="225"/>
      <c r="CTK41" s="226"/>
      <c r="CTL41" s="227"/>
      <c r="CTM41" s="228"/>
      <c r="CTN41" s="228"/>
      <c r="CTO41" s="228"/>
      <c r="CTP41" s="228"/>
      <c r="CTQ41" s="228"/>
      <c r="CTR41" s="228"/>
      <c r="CTS41" s="226"/>
      <c r="CTT41" s="226"/>
      <c r="CTU41" s="224"/>
      <c r="CTV41" s="225"/>
      <c r="CTW41" s="226"/>
      <c r="CTX41" s="227"/>
      <c r="CTY41" s="228"/>
      <c r="CTZ41" s="228"/>
      <c r="CUA41" s="228"/>
      <c r="CUB41" s="228"/>
      <c r="CUC41" s="228"/>
      <c r="CUD41" s="228"/>
      <c r="CUE41" s="226"/>
      <c r="CUF41" s="226"/>
      <c r="CUG41" s="224"/>
      <c r="CUH41" s="225"/>
      <c r="CUI41" s="226"/>
      <c r="CUJ41" s="227"/>
      <c r="CUK41" s="228"/>
      <c r="CUL41" s="228"/>
      <c r="CUM41" s="228"/>
      <c r="CUN41" s="228"/>
      <c r="CUO41" s="228"/>
      <c r="CUP41" s="228"/>
      <c r="CUQ41" s="226"/>
      <c r="CUR41" s="226"/>
      <c r="CUS41" s="224"/>
      <c r="CUT41" s="225"/>
      <c r="CUU41" s="226"/>
      <c r="CUV41" s="227"/>
      <c r="CUW41" s="228"/>
      <c r="CUX41" s="228"/>
      <c r="CUY41" s="228"/>
      <c r="CUZ41" s="228"/>
      <c r="CVA41" s="228"/>
      <c r="CVB41" s="228"/>
      <c r="CVC41" s="226"/>
      <c r="CVD41" s="226"/>
      <c r="CVE41" s="224"/>
      <c r="CVF41" s="225"/>
      <c r="CVG41" s="226"/>
      <c r="CVH41" s="227"/>
      <c r="CVI41" s="228"/>
      <c r="CVJ41" s="228"/>
      <c r="CVK41" s="228"/>
      <c r="CVL41" s="228"/>
      <c r="CVM41" s="228"/>
      <c r="CVN41" s="228"/>
      <c r="CVO41" s="226"/>
      <c r="CVP41" s="226"/>
      <c r="CVQ41" s="224"/>
      <c r="CVR41" s="225"/>
      <c r="CVS41" s="226"/>
      <c r="CVT41" s="227"/>
      <c r="CVU41" s="228"/>
      <c r="CVV41" s="228"/>
      <c r="CVW41" s="228"/>
      <c r="CVX41" s="228"/>
      <c r="CVY41" s="228"/>
      <c r="CVZ41" s="228"/>
      <c r="CWA41" s="226"/>
      <c r="CWB41" s="226"/>
      <c r="CWC41" s="224"/>
      <c r="CWD41" s="225"/>
      <c r="CWE41" s="226"/>
      <c r="CWF41" s="227"/>
      <c r="CWG41" s="228"/>
      <c r="CWH41" s="228"/>
      <c r="CWI41" s="228"/>
      <c r="CWJ41" s="228"/>
      <c r="CWK41" s="228"/>
      <c r="CWL41" s="228"/>
      <c r="CWM41" s="226"/>
      <c r="CWN41" s="226"/>
      <c r="CWO41" s="224"/>
      <c r="CWP41" s="225"/>
      <c r="CWQ41" s="226"/>
      <c r="CWR41" s="227"/>
      <c r="CWS41" s="228"/>
      <c r="CWT41" s="228"/>
      <c r="CWU41" s="228"/>
      <c r="CWV41" s="228"/>
      <c r="CWW41" s="228"/>
      <c r="CWX41" s="228"/>
      <c r="CWY41" s="226"/>
      <c r="CWZ41" s="226"/>
      <c r="CXA41" s="224"/>
      <c r="CXB41" s="225"/>
      <c r="CXC41" s="226"/>
      <c r="CXD41" s="227"/>
      <c r="CXE41" s="228"/>
      <c r="CXF41" s="228"/>
      <c r="CXG41" s="228"/>
      <c r="CXH41" s="228"/>
      <c r="CXI41" s="228"/>
      <c r="CXJ41" s="228"/>
      <c r="CXK41" s="226"/>
      <c r="CXL41" s="226"/>
      <c r="CXM41" s="224"/>
      <c r="CXN41" s="225"/>
      <c r="CXO41" s="226"/>
      <c r="CXP41" s="227"/>
      <c r="CXQ41" s="228"/>
      <c r="CXR41" s="228"/>
      <c r="CXS41" s="228"/>
      <c r="CXT41" s="228"/>
      <c r="CXU41" s="228"/>
      <c r="CXV41" s="228"/>
      <c r="CXW41" s="226"/>
      <c r="CXX41" s="226"/>
      <c r="CXY41" s="224"/>
      <c r="CXZ41" s="225"/>
      <c r="CYA41" s="226"/>
      <c r="CYB41" s="227"/>
      <c r="CYC41" s="228"/>
      <c r="CYD41" s="228"/>
      <c r="CYE41" s="228"/>
      <c r="CYF41" s="228"/>
      <c r="CYG41" s="228"/>
      <c r="CYH41" s="228"/>
      <c r="CYI41" s="226"/>
      <c r="CYJ41" s="226"/>
      <c r="CYK41" s="224"/>
      <c r="CYL41" s="225"/>
      <c r="CYM41" s="226"/>
      <c r="CYN41" s="227"/>
      <c r="CYO41" s="228"/>
      <c r="CYP41" s="228"/>
      <c r="CYQ41" s="228"/>
      <c r="CYR41" s="228"/>
      <c r="CYS41" s="228"/>
      <c r="CYT41" s="228"/>
      <c r="CYU41" s="226"/>
      <c r="CYV41" s="226"/>
      <c r="CYW41" s="224"/>
      <c r="CYX41" s="225"/>
      <c r="CYY41" s="226"/>
      <c r="CYZ41" s="227"/>
      <c r="CZA41" s="228"/>
      <c r="CZB41" s="228"/>
      <c r="CZC41" s="228"/>
      <c r="CZD41" s="228"/>
      <c r="CZE41" s="228"/>
      <c r="CZF41" s="228"/>
      <c r="CZG41" s="226"/>
      <c r="CZH41" s="226"/>
      <c r="CZI41" s="224"/>
      <c r="CZJ41" s="225"/>
      <c r="CZK41" s="226"/>
      <c r="CZL41" s="227"/>
      <c r="CZM41" s="228"/>
      <c r="CZN41" s="228"/>
      <c r="CZO41" s="228"/>
      <c r="CZP41" s="228"/>
      <c r="CZQ41" s="228"/>
      <c r="CZR41" s="228"/>
      <c r="CZS41" s="226"/>
      <c r="CZT41" s="226"/>
      <c r="CZU41" s="224"/>
      <c r="CZV41" s="225"/>
      <c r="CZW41" s="226"/>
      <c r="CZX41" s="227"/>
      <c r="CZY41" s="228"/>
      <c r="CZZ41" s="228"/>
      <c r="DAA41" s="228"/>
      <c r="DAB41" s="228"/>
      <c r="DAC41" s="228"/>
      <c r="DAD41" s="228"/>
      <c r="DAE41" s="226"/>
      <c r="DAF41" s="226"/>
      <c r="DAG41" s="224"/>
      <c r="DAH41" s="225"/>
      <c r="DAI41" s="226"/>
      <c r="DAJ41" s="227"/>
      <c r="DAK41" s="228"/>
      <c r="DAL41" s="228"/>
      <c r="DAM41" s="228"/>
      <c r="DAN41" s="228"/>
      <c r="DAO41" s="228"/>
      <c r="DAP41" s="228"/>
      <c r="DAQ41" s="226"/>
      <c r="DAR41" s="226"/>
      <c r="DAS41" s="224"/>
      <c r="DAT41" s="225"/>
      <c r="DAU41" s="226"/>
      <c r="DAV41" s="227"/>
      <c r="DAW41" s="228"/>
      <c r="DAX41" s="228"/>
      <c r="DAY41" s="228"/>
      <c r="DAZ41" s="228"/>
      <c r="DBA41" s="228"/>
      <c r="DBB41" s="228"/>
      <c r="DBC41" s="226"/>
      <c r="DBD41" s="226"/>
      <c r="DBE41" s="224"/>
      <c r="DBF41" s="225"/>
      <c r="DBG41" s="226"/>
      <c r="DBH41" s="227"/>
      <c r="DBI41" s="228"/>
      <c r="DBJ41" s="228"/>
      <c r="DBK41" s="228"/>
      <c r="DBL41" s="228"/>
      <c r="DBM41" s="228"/>
      <c r="DBN41" s="228"/>
      <c r="DBO41" s="226"/>
      <c r="DBP41" s="226"/>
      <c r="DBQ41" s="224"/>
      <c r="DBR41" s="225"/>
      <c r="DBS41" s="226"/>
      <c r="DBT41" s="227"/>
      <c r="DBU41" s="228"/>
      <c r="DBV41" s="228"/>
      <c r="DBW41" s="228"/>
      <c r="DBX41" s="228"/>
      <c r="DBY41" s="228"/>
      <c r="DBZ41" s="228"/>
      <c r="DCA41" s="226"/>
      <c r="DCB41" s="226"/>
      <c r="DCC41" s="224"/>
      <c r="DCD41" s="225"/>
      <c r="DCE41" s="226"/>
      <c r="DCF41" s="227"/>
      <c r="DCG41" s="228"/>
      <c r="DCH41" s="228"/>
      <c r="DCI41" s="228"/>
      <c r="DCJ41" s="228"/>
      <c r="DCK41" s="228"/>
      <c r="DCL41" s="228"/>
      <c r="DCM41" s="226"/>
      <c r="DCN41" s="226"/>
      <c r="DCO41" s="224"/>
      <c r="DCP41" s="225"/>
      <c r="DCQ41" s="226"/>
      <c r="DCR41" s="227"/>
      <c r="DCS41" s="228"/>
      <c r="DCT41" s="228"/>
      <c r="DCU41" s="228"/>
      <c r="DCV41" s="228"/>
      <c r="DCW41" s="228"/>
      <c r="DCX41" s="228"/>
      <c r="DCY41" s="226"/>
      <c r="DCZ41" s="226"/>
      <c r="DDA41" s="224"/>
      <c r="DDB41" s="225"/>
      <c r="DDC41" s="226"/>
      <c r="DDD41" s="227"/>
      <c r="DDE41" s="228"/>
      <c r="DDF41" s="228"/>
      <c r="DDG41" s="228"/>
      <c r="DDH41" s="228"/>
      <c r="DDI41" s="228"/>
      <c r="DDJ41" s="228"/>
      <c r="DDK41" s="226"/>
      <c r="DDL41" s="226"/>
      <c r="DDM41" s="224"/>
      <c r="DDN41" s="225"/>
      <c r="DDO41" s="226"/>
      <c r="DDP41" s="227"/>
      <c r="DDQ41" s="228"/>
      <c r="DDR41" s="228"/>
      <c r="DDS41" s="228"/>
      <c r="DDT41" s="228"/>
      <c r="DDU41" s="228"/>
      <c r="DDV41" s="228"/>
      <c r="DDW41" s="226"/>
      <c r="DDX41" s="226"/>
      <c r="DDY41" s="224"/>
      <c r="DDZ41" s="225"/>
      <c r="DEA41" s="226"/>
      <c r="DEB41" s="227"/>
      <c r="DEC41" s="228"/>
      <c r="DED41" s="228"/>
      <c r="DEE41" s="228"/>
      <c r="DEF41" s="228"/>
      <c r="DEG41" s="228"/>
      <c r="DEH41" s="228"/>
      <c r="DEI41" s="226"/>
      <c r="DEJ41" s="226"/>
      <c r="DEK41" s="224"/>
      <c r="DEL41" s="225"/>
      <c r="DEM41" s="226"/>
      <c r="DEN41" s="227"/>
      <c r="DEO41" s="228"/>
      <c r="DEP41" s="228"/>
      <c r="DEQ41" s="228"/>
      <c r="DER41" s="228"/>
      <c r="DES41" s="228"/>
      <c r="DET41" s="228"/>
      <c r="DEU41" s="226"/>
      <c r="DEV41" s="226"/>
      <c r="DEW41" s="224"/>
      <c r="DEX41" s="225"/>
      <c r="DEY41" s="226"/>
      <c r="DEZ41" s="227"/>
      <c r="DFA41" s="228"/>
      <c r="DFB41" s="228"/>
      <c r="DFC41" s="228"/>
      <c r="DFD41" s="228"/>
      <c r="DFE41" s="228"/>
      <c r="DFF41" s="228"/>
      <c r="DFG41" s="226"/>
      <c r="DFH41" s="226"/>
      <c r="DFI41" s="224"/>
      <c r="DFJ41" s="225"/>
      <c r="DFK41" s="226"/>
      <c r="DFL41" s="227"/>
      <c r="DFM41" s="228"/>
      <c r="DFN41" s="228"/>
      <c r="DFO41" s="228"/>
      <c r="DFP41" s="228"/>
      <c r="DFQ41" s="228"/>
      <c r="DFR41" s="228"/>
      <c r="DFS41" s="226"/>
      <c r="DFT41" s="226"/>
      <c r="DFU41" s="224"/>
      <c r="DFV41" s="225"/>
      <c r="DFW41" s="226"/>
      <c r="DFX41" s="227"/>
      <c r="DFY41" s="228"/>
      <c r="DFZ41" s="228"/>
      <c r="DGA41" s="228"/>
      <c r="DGB41" s="228"/>
      <c r="DGC41" s="228"/>
      <c r="DGD41" s="228"/>
      <c r="DGE41" s="226"/>
      <c r="DGF41" s="226"/>
      <c r="DGG41" s="224"/>
      <c r="DGH41" s="225"/>
      <c r="DGI41" s="226"/>
      <c r="DGJ41" s="227"/>
      <c r="DGK41" s="228"/>
      <c r="DGL41" s="228"/>
      <c r="DGM41" s="228"/>
      <c r="DGN41" s="228"/>
      <c r="DGO41" s="228"/>
      <c r="DGP41" s="228"/>
      <c r="DGQ41" s="226"/>
      <c r="DGR41" s="226"/>
      <c r="DGS41" s="224"/>
      <c r="DGT41" s="225"/>
      <c r="DGU41" s="226"/>
      <c r="DGV41" s="227"/>
      <c r="DGW41" s="228"/>
      <c r="DGX41" s="228"/>
      <c r="DGY41" s="228"/>
      <c r="DGZ41" s="228"/>
      <c r="DHA41" s="228"/>
      <c r="DHB41" s="228"/>
      <c r="DHC41" s="226"/>
      <c r="DHD41" s="226"/>
      <c r="DHE41" s="224"/>
      <c r="DHF41" s="225"/>
      <c r="DHG41" s="226"/>
      <c r="DHH41" s="227"/>
      <c r="DHI41" s="228"/>
      <c r="DHJ41" s="228"/>
      <c r="DHK41" s="228"/>
      <c r="DHL41" s="228"/>
      <c r="DHM41" s="228"/>
      <c r="DHN41" s="228"/>
      <c r="DHO41" s="226"/>
      <c r="DHP41" s="226"/>
      <c r="DHQ41" s="224"/>
      <c r="DHR41" s="225"/>
      <c r="DHS41" s="226"/>
      <c r="DHT41" s="227"/>
      <c r="DHU41" s="228"/>
      <c r="DHV41" s="228"/>
      <c r="DHW41" s="228"/>
      <c r="DHX41" s="228"/>
      <c r="DHY41" s="228"/>
      <c r="DHZ41" s="228"/>
      <c r="DIA41" s="226"/>
      <c r="DIB41" s="226"/>
      <c r="DIC41" s="224"/>
      <c r="DID41" s="225"/>
      <c r="DIE41" s="226"/>
      <c r="DIF41" s="227"/>
      <c r="DIG41" s="228"/>
      <c r="DIH41" s="228"/>
      <c r="DII41" s="228"/>
      <c r="DIJ41" s="228"/>
      <c r="DIK41" s="228"/>
      <c r="DIL41" s="228"/>
      <c r="DIM41" s="226"/>
      <c r="DIN41" s="226"/>
      <c r="DIO41" s="224"/>
      <c r="DIP41" s="225"/>
      <c r="DIQ41" s="226"/>
      <c r="DIR41" s="227"/>
      <c r="DIS41" s="228"/>
      <c r="DIT41" s="228"/>
      <c r="DIU41" s="228"/>
      <c r="DIV41" s="228"/>
      <c r="DIW41" s="228"/>
      <c r="DIX41" s="228"/>
      <c r="DIY41" s="226"/>
      <c r="DIZ41" s="226"/>
      <c r="DJA41" s="224"/>
      <c r="DJB41" s="225"/>
      <c r="DJC41" s="226"/>
      <c r="DJD41" s="227"/>
      <c r="DJE41" s="228"/>
      <c r="DJF41" s="228"/>
      <c r="DJG41" s="228"/>
      <c r="DJH41" s="228"/>
      <c r="DJI41" s="228"/>
      <c r="DJJ41" s="228"/>
      <c r="DJK41" s="226"/>
      <c r="DJL41" s="226"/>
      <c r="DJM41" s="224"/>
      <c r="DJN41" s="225"/>
      <c r="DJO41" s="226"/>
      <c r="DJP41" s="227"/>
      <c r="DJQ41" s="228"/>
      <c r="DJR41" s="228"/>
      <c r="DJS41" s="228"/>
      <c r="DJT41" s="228"/>
      <c r="DJU41" s="228"/>
      <c r="DJV41" s="228"/>
      <c r="DJW41" s="226"/>
      <c r="DJX41" s="226"/>
      <c r="DJY41" s="224"/>
      <c r="DJZ41" s="225"/>
      <c r="DKA41" s="226"/>
      <c r="DKB41" s="227"/>
      <c r="DKC41" s="228"/>
      <c r="DKD41" s="228"/>
      <c r="DKE41" s="228"/>
      <c r="DKF41" s="228"/>
      <c r="DKG41" s="228"/>
      <c r="DKH41" s="228"/>
      <c r="DKI41" s="226"/>
      <c r="DKJ41" s="226"/>
      <c r="DKK41" s="224"/>
      <c r="DKL41" s="225"/>
      <c r="DKM41" s="226"/>
      <c r="DKN41" s="227"/>
      <c r="DKO41" s="228"/>
      <c r="DKP41" s="228"/>
      <c r="DKQ41" s="228"/>
      <c r="DKR41" s="228"/>
      <c r="DKS41" s="228"/>
      <c r="DKT41" s="228"/>
      <c r="DKU41" s="226"/>
      <c r="DKV41" s="226"/>
      <c r="DKW41" s="224"/>
      <c r="DKX41" s="225"/>
      <c r="DKY41" s="226"/>
      <c r="DKZ41" s="227"/>
      <c r="DLA41" s="228"/>
      <c r="DLB41" s="228"/>
      <c r="DLC41" s="228"/>
      <c r="DLD41" s="228"/>
      <c r="DLE41" s="228"/>
      <c r="DLF41" s="228"/>
      <c r="DLG41" s="226"/>
      <c r="DLH41" s="226"/>
      <c r="DLI41" s="224"/>
      <c r="DLJ41" s="225"/>
      <c r="DLK41" s="226"/>
      <c r="DLL41" s="227"/>
      <c r="DLM41" s="228"/>
      <c r="DLN41" s="228"/>
      <c r="DLO41" s="228"/>
      <c r="DLP41" s="228"/>
      <c r="DLQ41" s="228"/>
      <c r="DLR41" s="228"/>
      <c r="DLS41" s="226"/>
      <c r="DLT41" s="226"/>
      <c r="DLU41" s="224"/>
      <c r="DLV41" s="225"/>
      <c r="DLW41" s="226"/>
      <c r="DLX41" s="227"/>
      <c r="DLY41" s="228"/>
      <c r="DLZ41" s="228"/>
      <c r="DMA41" s="228"/>
      <c r="DMB41" s="228"/>
      <c r="DMC41" s="228"/>
      <c r="DMD41" s="228"/>
      <c r="DME41" s="226"/>
      <c r="DMF41" s="226"/>
      <c r="DMG41" s="224"/>
      <c r="DMH41" s="225"/>
      <c r="DMI41" s="226"/>
      <c r="DMJ41" s="227"/>
      <c r="DMK41" s="228"/>
      <c r="DML41" s="228"/>
      <c r="DMM41" s="228"/>
      <c r="DMN41" s="228"/>
      <c r="DMO41" s="228"/>
      <c r="DMP41" s="228"/>
      <c r="DMQ41" s="226"/>
      <c r="DMR41" s="226"/>
      <c r="DMS41" s="224"/>
      <c r="DMT41" s="225"/>
      <c r="DMU41" s="226"/>
      <c r="DMV41" s="227"/>
      <c r="DMW41" s="228"/>
      <c r="DMX41" s="228"/>
      <c r="DMY41" s="228"/>
      <c r="DMZ41" s="228"/>
      <c r="DNA41" s="228"/>
      <c r="DNB41" s="228"/>
      <c r="DNC41" s="226"/>
      <c r="DND41" s="226"/>
      <c r="DNE41" s="224"/>
      <c r="DNF41" s="225"/>
      <c r="DNG41" s="226"/>
      <c r="DNH41" s="227"/>
      <c r="DNI41" s="228"/>
      <c r="DNJ41" s="228"/>
      <c r="DNK41" s="228"/>
      <c r="DNL41" s="228"/>
      <c r="DNM41" s="228"/>
      <c r="DNN41" s="228"/>
      <c r="DNO41" s="226"/>
      <c r="DNP41" s="226"/>
      <c r="DNQ41" s="224"/>
      <c r="DNR41" s="225"/>
      <c r="DNS41" s="226"/>
      <c r="DNT41" s="227"/>
      <c r="DNU41" s="228"/>
      <c r="DNV41" s="228"/>
      <c r="DNW41" s="228"/>
      <c r="DNX41" s="228"/>
      <c r="DNY41" s="228"/>
      <c r="DNZ41" s="228"/>
      <c r="DOA41" s="226"/>
      <c r="DOB41" s="226"/>
      <c r="DOC41" s="224"/>
      <c r="DOD41" s="225"/>
      <c r="DOE41" s="226"/>
      <c r="DOF41" s="227"/>
      <c r="DOG41" s="228"/>
      <c r="DOH41" s="228"/>
      <c r="DOI41" s="228"/>
      <c r="DOJ41" s="228"/>
      <c r="DOK41" s="228"/>
      <c r="DOL41" s="228"/>
      <c r="DOM41" s="226"/>
      <c r="DON41" s="226"/>
      <c r="DOO41" s="224"/>
      <c r="DOP41" s="225"/>
      <c r="DOQ41" s="226"/>
      <c r="DOR41" s="227"/>
      <c r="DOS41" s="228"/>
      <c r="DOT41" s="228"/>
      <c r="DOU41" s="228"/>
      <c r="DOV41" s="228"/>
      <c r="DOW41" s="228"/>
      <c r="DOX41" s="228"/>
      <c r="DOY41" s="226"/>
      <c r="DOZ41" s="226"/>
      <c r="DPA41" s="224"/>
      <c r="DPB41" s="225"/>
      <c r="DPC41" s="226"/>
      <c r="DPD41" s="227"/>
      <c r="DPE41" s="228"/>
      <c r="DPF41" s="228"/>
      <c r="DPG41" s="228"/>
      <c r="DPH41" s="228"/>
      <c r="DPI41" s="228"/>
      <c r="DPJ41" s="228"/>
      <c r="DPK41" s="226"/>
      <c r="DPL41" s="226"/>
      <c r="DPM41" s="224"/>
      <c r="DPN41" s="225"/>
      <c r="DPO41" s="226"/>
      <c r="DPP41" s="227"/>
      <c r="DPQ41" s="228"/>
      <c r="DPR41" s="228"/>
      <c r="DPS41" s="228"/>
      <c r="DPT41" s="228"/>
      <c r="DPU41" s="228"/>
      <c r="DPV41" s="228"/>
      <c r="DPW41" s="226"/>
      <c r="DPX41" s="226"/>
      <c r="DPY41" s="224"/>
      <c r="DPZ41" s="225"/>
      <c r="DQA41" s="226"/>
      <c r="DQB41" s="227"/>
      <c r="DQC41" s="228"/>
      <c r="DQD41" s="228"/>
      <c r="DQE41" s="228"/>
      <c r="DQF41" s="228"/>
      <c r="DQG41" s="228"/>
      <c r="DQH41" s="228"/>
      <c r="DQI41" s="226"/>
      <c r="DQJ41" s="226"/>
      <c r="DQK41" s="224"/>
      <c r="DQL41" s="225"/>
      <c r="DQM41" s="226"/>
      <c r="DQN41" s="227"/>
      <c r="DQO41" s="228"/>
      <c r="DQP41" s="228"/>
      <c r="DQQ41" s="228"/>
      <c r="DQR41" s="228"/>
      <c r="DQS41" s="228"/>
      <c r="DQT41" s="228"/>
      <c r="DQU41" s="226"/>
      <c r="DQV41" s="226"/>
      <c r="DQW41" s="224"/>
      <c r="DQX41" s="225"/>
      <c r="DQY41" s="226"/>
      <c r="DQZ41" s="227"/>
      <c r="DRA41" s="228"/>
      <c r="DRB41" s="228"/>
      <c r="DRC41" s="228"/>
      <c r="DRD41" s="228"/>
      <c r="DRE41" s="228"/>
      <c r="DRF41" s="228"/>
      <c r="DRG41" s="226"/>
      <c r="DRH41" s="226"/>
      <c r="DRI41" s="224"/>
      <c r="DRJ41" s="225"/>
      <c r="DRK41" s="226"/>
      <c r="DRL41" s="227"/>
      <c r="DRM41" s="228"/>
      <c r="DRN41" s="228"/>
      <c r="DRO41" s="228"/>
      <c r="DRP41" s="228"/>
      <c r="DRQ41" s="228"/>
      <c r="DRR41" s="228"/>
      <c r="DRS41" s="226"/>
      <c r="DRT41" s="226"/>
      <c r="DRU41" s="224"/>
      <c r="DRV41" s="225"/>
      <c r="DRW41" s="226"/>
      <c r="DRX41" s="227"/>
      <c r="DRY41" s="228"/>
      <c r="DRZ41" s="228"/>
      <c r="DSA41" s="228"/>
      <c r="DSB41" s="228"/>
      <c r="DSC41" s="228"/>
      <c r="DSD41" s="228"/>
      <c r="DSE41" s="226"/>
      <c r="DSF41" s="226"/>
      <c r="DSG41" s="224"/>
      <c r="DSH41" s="225"/>
      <c r="DSI41" s="226"/>
      <c r="DSJ41" s="227"/>
      <c r="DSK41" s="228"/>
      <c r="DSL41" s="228"/>
      <c r="DSM41" s="228"/>
      <c r="DSN41" s="228"/>
      <c r="DSO41" s="228"/>
      <c r="DSP41" s="228"/>
      <c r="DSQ41" s="226"/>
      <c r="DSR41" s="226"/>
      <c r="DSS41" s="224"/>
      <c r="DST41" s="225"/>
      <c r="DSU41" s="226"/>
      <c r="DSV41" s="227"/>
      <c r="DSW41" s="228"/>
      <c r="DSX41" s="228"/>
      <c r="DSY41" s="228"/>
      <c r="DSZ41" s="228"/>
      <c r="DTA41" s="228"/>
      <c r="DTB41" s="228"/>
      <c r="DTC41" s="226"/>
      <c r="DTD41" s="226"/>
      <c r="DTE41" s="224"/>
      <c r="DTF41" s="225"/>
      <c r="DTG41" s="226"/>
      <c r="DTH41" s="227"/>
      <c r="DTI41" s="228"/>
      <c r="DTJ41" s="228"/>
      <c r="DTK41" s="228"/>
      <c r="DTL41" s="228"/>
      <c r="DTM41" s="228"/>
      <c r="DTN41" s="228"/>
      <c r="DTO41" s="226"/>
      <c r="DTP41" s="226"/>
      <c r="DTQ41" s="224"/>
      <c r="DTR41" s="225"/>
      <c r="DTS41" s="226"/>
      <c r="DTT41" s="227"/>
      <c r="DTU41" s="228"/>
      <c r="DTV41" s="228"/>
      <c r="DTW41" s="228"/>
      <c r="DTX41" s="228"/>
      <c r="DTY41" s="228"/>
      <c r="DTZ41" s="228"/>
      <c r="DUA41" s="226"/>
      <c r="DUB41" s="226"/>
      <c r="DUC41" s="224"/>
      <c r="DUD41" s="225"/>
      <c r="DUE41" s="226"/>
      <c r="DUF41" s="227"/>
      <c r="DUG41" s="228"/>
      <c r="DUH41" s="228"/>
      <c r="DUI41" s="228"/>
      <c r="DUJ41" s="228"/>
      <c r="DUK41" s="228"/>
      <c r="DUL41" s="228"/>
      <c r="DUM41" s="226"/>
      <c r="DUN41" s="226"/>
      <c r="DUO41" s="224"/>
      <c r="DUP41" s="225"/>
      <c r="DUQ41" s="226"/>
      <c r="DUR41" s="227"/>
      <c r="DUS41" s="228"/>
      <c r="DUT41" s="228"/>
      <c r="DUU41" s="228"/>
      <c r="DUV41" s="228"/>
      <c r="DUW41" s="228"/>
      <c r="DUX41" s="228"/>
      <c r="DUY41" s="226"/>
      <c r="DUZ41" s="226"/>
      <c r="DVA41" s="224"/>
      <c r="DVB41" s="225"/>
      <c r="DVC41" s="226"/>
      <c r="DVD41" s="227"/>
      <c r="DVE41" s="228"/>
      <c r="DVF41" s="228"/>
      <c r="DVG41" s="228"/>
      <c r="DVH41" s="228"/>
      <c r="DVI41" s="228"/>
      <c r="DVJ41" s="228"/>
      <c r="DVK41" s="226"/>
      <c r="DVL41" s="226"/>
      <c r="DVM41" s="224"/>
      <c r="DVN41" s="225"/>
      <c r="DVO41" s="226"/>
      <c r="DVP41" s="227"/>
      <c r="DVQ41" s="228"/>
      <c r="DVR41" s="228"/>
      <c r="DVS41" s="228"/>
      <c r="DVT41" s="228"/>
      <c r="DVU41" s="228"/>
      <c r="DVV41" s="228"/>
      <c r="DVW41" s="226"/>
      <c r="DVX41" s="226"/>
      <c r="DVY41" s="224"/>
      <c r="DVZ41" s="225"/>
      <c r="DWA41" s="226"/>
      <c r="DWB41" s="227"/>
      <c r="DWC41" s="228"/>
      <c r="DWD41" s="228"/>
      <c r="DWE41" s="228"/>
      <c r="DWF41" s="228"/>
      <c r="DWG41" s="228"/>
      <c r="DWH41" s="228"/>
      <c r="DWI41" s="226"/>
      <c r="DWJ41" s="226"/>
      <c r="DWK41" s="224"/>
      <c r="DWL41" s="225"/>
      <c r="DWM41" s="226"/>
      <c r="DWN41" s="227"/>
      <c r="DWO41" s="228"/>
      <c r="DWP41" s="228"/>
      <c r="DWQ41" s="228"/>
      <c r="DWR41" s="228"/>
      <c r="DWS41" s="228"/>
      <c r="DWT41" s="228"/>
      <c r="DWU41" s="226"/>
      <c r="DWV41" s="226"/>
      <c r="DWW41" s="224"/>
      <c r="DWX41" s="225"/>
      <c r="DWY41" s="226"/>
      <c r="DWZ41" s="227"/>
      <c r="DXA41" s="228"/>
      <c r="DXB41" s="228"/>
      <c r="DXC41" s="228"/>
      <c r="DXD41" s="228"/>
      <c r="DXE41" s="228"/>
      <c r="DXF41" s="228"/>
      <c r="DXG41" s="226"/>
      <c r="DXH41" s="226"/>
      <c r="DXI41" s="224"/>
      <c r="DXJ41" s="225"/>
      <c r="DXK41" s="226"/>
      <c r="DXL41" s="227"/>
      <c r="DXM41" s="228"/>
      <c r="DXN41" s="228"/>
      <c r="DXO41" s="228"/>
      <c r="DXP41" s="228"/>
      <c r="DXQ41" s="228"/>
      <c r="DXR41" s="228"/>
      <c r="DXS41" s="226"/>
      <c r="DXT41" s="226"/>
      <c r="DXU41" s="224"/>
      <c r="DXV41" s="225"/>
      <c r="DXW41" s="226"/>
      <c r="DXX41" s="227"/>
      <c r="DXY41" s="228"/>
      <c r="DXZ41" s="228"/>
      <c r="DYA41" s="228"/>
      <c r="DYB41" s="228"/>
      <c r="DYC41" s="228"/>
      <c r="DYD41" s="228"/>
      <c r="DYE41" s="226"/>
      <c r="DYF41" s="226"/>
      <c r="DYG41" s="224"/>
      <c r="DYH41" s="225"/>
      <c r="DYI41" s="226"/>
      <c r="DYJ41" s="227"/>
      <c r="DYK41" s="228"/>
      <c r="DYL41" s="228"/>
      <c r="DYM41" s="228"/>
      <c r="DYN41" s="228"/>
      <c r="DYO41" s="228"/>
      <c r="DYP41" s="228"/>
      <c r="DYQ41" s="226"/>
      <c r="DYR41" s="226"/>
      <c r="DYS41" s="224"/>
      <c r="DYT41" s="225"/>
      <c r="DYU41" s="226"/>
      <c r="DYV41" s="227"/>
      <c r="DYW41" s="228"/>
      <c r="DYX41" s="228"/>
      <c r="DYY41" s="228"/>
      <c r="DYZ41" s="228"/>
      <c r="DZA41" s="228"/>
      <c r="DZB41" s="228"/>
      <c r="DZC41" s="226"/>
      <c r="DZD41" s="226"/>
      <c r="DZE41" s="224"/>
      <c r="DZF41" s="225"/>
      <c r="DZG41" s="226"/>
      <c r="DZH41" s="227"/>
      <c r="DZI41" s="228"/>
      <c r="DZJ41" s="228"/>
      <c r="DZK41" s="228"/>
      <c r="DZL41" s="228"/>
      <c r="DZM41" s="228"/>
      <c r="DZN41" s="228"/>
      <c r="DZO41" s="226"/>
      <c r="DZP41" s="226"/>
      <c r="DZQ41" s="224"/>
      <c r="DZR41" s="225"/>
      <c r="DZS41" s="226"/>
      <c r="DZT41" s="227"/>
      <c r="DZU41" s="228"/>
      <c r="DZV41" s="228"/>
      <c r="DZW41" s="228"/>
      <c r="DZX41" s="228"/>
      <c r="DZY41" s="228"/>
      <c r="DZZ41" s="228"/>
      <c r="EAA41" s="226"/>
      <c r="EAB41" s="226"/>
      <c r="EAC41" s="224"/>
      <c r="EAD41" s="225"/>
      <c r="EAE41" s="226"/>
      <c r="EAF41" s="227"/>
      <c r="EAG41" s="228"/>
      <c r="EAH41" s="228"/>
      <c r="EAI41" s="228"/>
      <c r="EAJ41" s="228"/>
      <c r="EAK41" s="228"/>
      <c r="EAL41" s="228"/>
      <c r="EAM41" s="226"/>
      <c r="EAN41" s="226"/>
      <c r="EAO41" s="224"/>
      <c r="EAP41" s="225"/>
      <c r="EAQ41" s="226"/>
      <c r="EAR41" s="227"/>
      <c r="EAS41" s="228"/>
      <c r="EAT41" s="228"/>
      <c r="EAU41" s="228"/>
      <c r="EAV41" s="228"/>
      <c r="EAW41" s="228"/>
      <c r="EAX41" s="228"/>
      <c r="EAY41" s="226"/>
      <c r="EAZ41" s="226"/>
      <c r="EBA41" s="224"/>
      <c r="EBB41" s="225"/>
      <c r="EBC41" s="226"/>
      <c r="EBD41" s="227"/>
      <c r="EBE41" s="228"/>
      <c r="EBF41" s="228"/>
      <c r="EBG41" s="228"/>
      <c r="EBH41" s="228"/>
      <c r="EBI41" s="228"/>
      <c r="EBJ41" s="228"/>
      <c r="EBK41" s="226"/>
      <c r="EBL41" s="226"/>
      <c r="EBM41" s="224"/>
      <c r="EBN41" s="225"/>
      <c r="EBO41" s="226"/>
      <c r="EBP41" s="227"/>
      <c r="EBQ41" s="228"/>
      <c r="EBR41" s="228"/>
      <c r="EBS41" s="228"/>
      <c r="EBT41" s="228"/>
      <c r="EBU41" s="228"/>
      <c r="EBV41" s="228"/>
      <c r="EBW41" s="226"/>
      <c r="EBX41" s="226"/>
      <c r="EBY41" s="224"/>
      <c r="EBZ41" s="225"/>
      <c r="ECA41" s="226"/>
      <c r="ECB41" s="227"/>
      <c r="ECC41" s="228"/>
      <c r="ECD41" s="228"/>
      <c r="ECE41" s="228"/>
      <c r="ECF41" s="228"/>
      <c r="ECG41" s="228"/>
      <c r="ECH41" s="228"/>
      <c r="ECI41" s="226"/>
      <c r="ECJ41" s="226"/>
      <c r="ECK41" s="224"/>
      <c r="ECL41" s="225"/>
      <c r="ECM41" s="226"/>
      <c r="ECN41" s="227"/>
      <c r="ECO41" s="228"/>
      <c r="ECP41" s="228"/>
      <c r="ECQ41" s="228"/>
      <c r="ECR41" s="228"/>
      <c r="ECS41" s="228"/>
      <c r="ECT41" s="228"/>
      <c r="ECU41" s="226"/>
      <c r="ECV41" s="226"/>
      <c r="ECW41" s="224"/>
      <c r="ECX41" s="225"/>
      <c r="ECY41" s="226"/>
      <c r="ECZ41" s="227"/>
      <c r="EDA41" s="228"/>
      <c r="EDB41" s="228"/>
      <c r="EDC41" s="228"/>
      <c r="EDD41" s="228"/>
      <c r="EDE41" s="228"/>
      <c r="EDF41" s="228"/>
      <c r="EDG41" s="226"/>
      <c r="EDH41" s="226"/>
      <c r="EDI41" s="224"/>
      <c r="EDJ41" s="225"/>
      <c r="EDK41" s="226"/>
      <c r="EDL41" s="227"/>
      <c r="EDM41" s="228"/>
      <c r="EDN41" s="228"/>
      <c r="EDO41" s="228"/>
      <c r="EDP41" s="228"/>
      <c r="EDQ41" s="228"/>
      <c r="EDR41" s="228"/>
      <c r="EDS41" s="226"/>
      <c r="EDT41" s="226"/>
      <c r="EDU41" s="224"/>
      <c r="EDV41" s="225"/>
      <c r="EDW41" s="226"/>
      <c r="EDX41" s="227"/>
      <c r="EDY41" s="228"/>
      <c r="EDZ41" s="228"/>
      <c r="EEA41" s="228"/>
      <c r="EEB41" s="228"/>
      <c r="EEC41" s="228"/>
      <c r="EED41" s="228"/>
      <c r="EEE41" s="226"/>
      <c r="EEF41" s="226"/>
      <c r="EEG41" s="224"/>
      <c r="EEH41" s="225"/>
      <c r="EEI41" s="226"/>
      <c r="EEJ41" s="227"/>
      <c r="EEK41" s="228"/>
      <c r="EEL41" s="228"/>
      <c r="EEM41" s="228"/>
      <c r="EEN41" s="228"/>
      <c r="EEO41" s="228"/>
      <c r="EEP41" s="228"/>
      <c r="EEQ41" s="226"/>
      <c r="EER41" s="226"/>
      <c r="EES41" s="224"/>
      <c r="EET41" s="225"/>
      <c r="EEU41" s="226"/>
      <c r="EEV41" s="227"/>
      <c r="EEW41" s="228"/>
      <c r="EEX41" s="228"/>
      <c r="EEY41" s="228"/>
      <c r="EEZ41" s="228"/>
      <c r="EFA41" s="228"/>
      <c r="EFB41" s="228"/>
      <c r="EFC41" s="226"/>
      <c r="EFD41" s="226"/>
      <c r="EFE41" s="224"/>
      <c r="EFF41" s="225"/>
      <c r="EFG41" s="226"/>
      <c r="EFH41" s="227"/>
      <c r="EFI41" s="228"/>
      <c r="EFJ41" s="228"/>
      <c r="EFK41" s="228"/>
      <c r="EFL41" s="228"/>
      <c r="EFM41" s="228"/>
      <c r="EFN41" s="228"/>
      <c r="EFO41" s="226"/>
      <c r="EFP41" s="226"/>
      <c r="EFQ41" s="224"/>
      <c r="EFR41" s="225"/>
      <c r="EFS41" s="226"/>
      <c r="EFT41" s="227"/>
      <c r="EFU41" s="228"/>
      <c r="EFV41" s="228"/>
      <c r="EFW41" s="228"/>
      <c r="EFX41" s="228"/>
      <c r="EFY41" s="228"/>
      <c r="EFZ41" s="228"/>
      <c r="EGA41" s="226"/>
      <c r="EGB41" s="226"/>
      <c r="EGC41" s="224"/>
      <c r="EGD41" s="225"/>
      <c r="EGE41" s="226"/>
      <c r="EGF41" s="227"/>
      <c r="EGG41" s="228"/>
      <c r="EGH41" s="228"/>
      <c r="EGI41" s="228"/>
      <c r="EGJ41" s="228"/>
      <c r="EGK41" s="228"/>
      <c r="EGL41" s="228"/>
      <c r="EGM41" s="226"/>
      <c r="EGN41" s="226"/>
      <c r="EGO41" s="224"/>
      <c r="EGP41" s="225"/>
      <c r="EGQ41" s="226"/>
      <c r="EGR41" s="227"/>
      <c r="EGS41" s="228"/>
      <c r="EGT41" s="228"/>
      <c r="EGU41" s="228"/>
      <c r="EGV41" s="228"/>
      <c r="EGW41" s="228"/>
      <c r="EGX41" s="228"/>
      <c r="EGY41" s="226"/>
      <c r="EGZ41" s="226"/>
      <c r="EHA41" s="224"/>
      <c r="EHB41" s="225"/>
      <c r="EHC41" s="226"/>
      <c r="EHD41" s="227"/>
      <c r="EHE41" s="228"/>
      <c r="EHF41" s="228"/>
      <c r="EHG41" s="228"/>
      <c r="EHH41" s="228"/>
      <c r="EHI41" s="228"/>
      <c r="EHJ41" s="228"/>
      <c r="EHK41" s="226"/>
      <c r="EHL41" s="226"/>
      <c r="EHM41" s="224"/>
      <c r="EHN41" s="225"/>
      <c r="EHO41" s="226"/>
      <c r="EHP41" s="227"/>
      <c r="EHQ41" s="228"/>
      <c r="EHR41" s="228"/>
      <c r="EHS41" s="228"/>
      <c r="EHT41" s="228"/>
      <c r="EHU41" s="228"/>
      <c r="EHV41" s="228"/>
      <c r="EHW41" s="226"/>
      <c r="EHX41" s="226"/>
      <c r="EHY41" s="224"/>
      <c r="EHZ41" s="225"/>
      <c r="EIA41" s="226"/>
      <c r="EIB41" s="227"/>
      <c r="EIC41" s="228"/>
      <c r="EID41" s="228"/>
      <c r="EIE41" s="228"/>
      <c r="EIF41" s="228"/>
      <c r="EIG41" s="228"/>
      <c r="EIH41" s="228"/>
      <c r="EII41" s="226"/>
      <c r="EIJ41" s="226"/>
      <c r="EIK41" s="224"/>
      <c r="EIL41" s="225"/>
      <c r="EIM41" s="226"/>
      <c r="EIN41" s="227"/>
      <c r="EIO41" s="228"/>
      <c r="EIP41" s="228"/>
      <c r="EIQ41" s="228"/>
      <c r="EIR41" s="228"/>
      <c r="EIS41" s="228"/>
      <c r="EIT41" s="228"/>
      <c r="EIU41" s="226"/>
      <c r="EIV41" s="226"/>
      <c r="EIW41" s="224"/>
      <c r="EIX41" s="225"/>
      <c r="EIY41" s="226"/>
      <c r="EIZ41" s="227"/>
      <c r="EJA41" s="228"/>
      <c r="EJB41" s="228"/>
      <c r="EJC41" s="228"/>
      <c r="EJD41" s="228"/>
      <c r="EJE41" s="228"/>
      <c r="EJF41" s="228"/>
      <c r="EJG41" s="226"/>
      <c r="EJH41" s="226"/>
      <c r="EJI41" s="224"/>
      <c r="EJJ41" s="225"/>
      <c r="EJK41" s="226"/>
      <c r="EJL41" s="227"/>
      <c r="EJM41" s="228"/>
      <c r="EJN41" s="228"/>
      <c r="EJO41" s="228"/>
      <c r="EJP41" s="228"/>
      <c r="EJQ41" s="228"/>
      <c r="EJR41" s="228"/>
      <c r="EJS41" s="226"/>
      <c r="EJT41" s="226"/>
      <c r="EJU41" s="224"/>
      <c r="EJV41" s="225"/>
      <c r="EJW41" s="226"/>
      <c r="EJX41" s="227"/>
      <c r="EJY41" s="228"/>
      <c r="EJZ41" s="228"/>
      <c r="EKA41" s="228"/>
      <c r="EKB41" s="228"/>
      <c r="EKC41" s="228"/>
      <c r="EKD41" s="228"/>
      <c r="EKE41" s="226"/>
      <c r="EKF41" s="226"/>
      <c r="EKG41" s="224"/>
      <c r="EKH41" s="225"/>
      <c r="EKI41" s="226"/>
      <c r="EKJ41" s="227"/>
      <c r="EKK41" s="228"/>
      <c r="EKL41" s="228"/>
      <c r="EKM41" s="228"/>
      <c r="EKN41" s="228"/>
      <c r="EKO41" s="228"/>
      <c r="EKP41" s="228"/>
      <c r="EKQ41" s="226"/>
      <c r="EKR41" s="226"/>
      <c r="EKS41" s="224"/>
      <c r="EKT41" s="225"/>
      <c r="EKU41" s="226"/>
      <c r="EKV41" s="227"/>
      <c r="EKW41" s="228"/>
      <c r="EKX41" s="228"/>
      <c r="EKY41" s="228"/>
      <c r="EKZ41" s="228"/>
      <c r="ELA41" s="228"/>
      <c r="ELB41" s="228"/>
      <c r="ELC41" s="226"/>
      <c r="ELD41" s="226"/>
      <c r="ELE41" s="224"/>
      <c r="ELF41" s="225"/>
      <c r="ELG41" s="226"/>
      <c r="ELH41" s="227"/>
      <c r="ELI41" s="228"/>
      <c r="ELJ41" s="228"/>
      <c r="ELK41" s="228"/>
      <c r="ELL41" s="228"/>
      <c r="ELM41" s="228"/>
      <c r="ELN41" s="228"/>
      <c r="ELO41" s="226"/>
      <c r="ELP41" s="226"/>
      <c r="ELQ41" s="224"/>
      <c r="ELR41" s="225"/>
      <c r="ELS41" s="226"/>
      <c r="ELT41" s="227"/>
      <c r="ELU41" s="228"/>
      <c r="ELV41" s="228"/>
      <c r="ELW41" s="228"/>
      <c r="ELX41" s="228"/>
      <c r="ELY41" s="228"/>
      <c r="ELZ41" s="228"/>
      <c r="EMA41" s="226"/>
      <c r="EMB41" s="226"/>
      <c r="EMC41" s="224"/>
      <c r="EMD41" s="225"/>
      <c r="EME41" s="226"/>
      <c r="EMF41" s="227"/>
      <c r="EMG41" s="228"/>
      <c r="EMH41" s="228"/>
      <c r="EMI41" s="228"/>
      <c r="EMJ41" s="228"/>
      <c r="EMK41" s="228"/>
      <c r="EML41" s="228"/>
      <c r="EMM41" s="226"/>
      <c r="EMN41" s="226"/>
      <c r="EMO41" s="224"/>
      <c r="EMP41" s="225"/>
      <c r="EMQ41" s="226"/>
      <c r="EMR41" s="227"/>
      <c r="EMS41" s="228"/>
      <c r="EMT41" s="228"/>
      <c r="EMU41" s="228"/>
      <c r="EMV41" s="228"/>
      <c r="EMW41" s="228"/>
      <c r="EMX41" s="228"/>
      <c r="EMY41" s="226"/>
      <c r="EMZ41" s="226"/>
      <c r="ENA41" s="224"/>
      <c r="ENB41" s="225"/>
      <c r="ENC41" s="226"/>
      <c r="END41" s="227"/>
      <c r="ENE41" s="228"/>
      <c r="ENF41" s="228"/>
      <c r="ENG41" s="228"/>
      <c r="ENH41" s="228"/>
      <c r="ENI41" s="228"/>
      <c r="ENJ41" s="228"/>
      <c r="ENK41" s="226"/>
      <c r="ENL41" s="226"/>
      <c r="ENM41" s="224"/>
      <c r="ENN41" s="225"/>
      <c r="ENO41" s="226"/>
      <c r="ENP41" s="227"/>
      <c r="ENQ41" s="228"/>
      <c r="ENR41" s="228"/>
      <c r="ENS41" s="228"/>
      <c r="ENT41" s="228"/>
      <c r="ENU41" s="228"/>
      <c r="ENV41" s="228"/>
      <c r="ENW41" s="226"/>
      <c r="ENX41" s="226"/>
      <c r="ENY41" s="224"/>
      <c r="ENZ41" s="225"/>
      <c r="EOA41" s="226"/>
      <c r="EOB41" s="227"/>
      <c r="EOC41" s="228"/>
      <c r="EOD41" s="228"/>
      <c r="EOE41" s="228"/>
      <c r="EOF41" s="228"/>
      <c r="EOG41" s="228"/>
      <c r="EOH41" s="228"/>
      <c r="EOI41" s="226"/>
      <c r="EOJ41" s="226"/>
      <c r="EOK41" s="224"/>
      <c r="EOL41" s="225"/>
      <c r="EOM41" s="226"/>
      <c r="EON41" s="227"/>
      <c r="EOO41" s="228"/>
      <c r="EOP41" s="228"/>
      <c r="EOQ41" s="228"/>
      <c r="EOR41" s="228"/>
      <c r="EOS41" s="228"/>
      <c r="EOT41" s="228"/>
      <c r="EOU41" s="226"/>
      <c r="EOV41" s="226"/>
      <c r="EOW41" s="224"/>
      <c r="EOX41" s="225"/>
      <c r="EOY41" s="226"/>
      <c r="EOZ41" s="227"/>
      <c r="EPA41" s="228"/>
      <c r="EPB41" s="228"/>
      <c r="EPC41" s="228"/>
      <c r="EPD41" s="228"/>
      <c r="EPE41" s="228"/>
      <c r="EPF41" s="228"/>
      <c r="EPG41" s="226"/>
      <c r="EPH41" s="226"/>
      <c r="EPI41" s="224"/>
      <c r="EPJ41" s="225"/>
      <c r="EPK41" s="226"/>
      <c r="EPL41" s="227"/>
      <c r="EPM41" s="228"/>
      <c r="EPN41" s="228"/>
      <c r="EPO41" s="228"/>
      <c r="EPP41" s="228"/>
      <c r="EPQ41" s="228"/>
      <c r="EPR41" s="228"/>
      <c r="EPS41" s="226"/>
      <c r="EPT41" s="226"/>
      <c r="EPU41" s="224"/>
      <c r="EPV41" s="225"/>
      <c r="EPW41" s="226"/>
      <c r="EPX41" s="227"/>
      <c r="EPY41" s="228"/>
      <c r="EPZ41" s="228"/>
      <c r="EQA41" s="228"/>
      <c r="EQB41" s="228"/>
      <c r="EQC41" s="228"/>
      <c r="EQD41" s="228"/>
      <c r="EQE41" s="226"/>
      <c r="EQF41" s="226"/>
      <c r="EQG41" s="224"/>
      <c r="EQH41" s="225"/>
      <c r="EQI41" s="226"/>
      <c r="EQJ41" s="227"/>
      <c r="EQK41" s="228"/>
      <c r="EQL41" s="228"/>
      <c r="EQM41" s="228"/>
      <c r="EQN41" s="228"/>
      <c r="EQO41" s="228"/>
      <c r="EQP41" s="228"/>
      <c r="EQQ41" s="226"/>
      <c r="EQR41" s="226"/>
      <c r="EQS41" s="224"/>
      <c r="EQT41" s="225"/>
      <c r="EQU41" s="226"/>
      <c r="EQV41" s="227"/>
      <c r="EQW41" s="228"/>
      <c r="EQX41" s="228"/>
      <c r="EQY41" s="228"/>
      <c r="EQZ41" s="228"/>
      <c r="ERA41" s="228"/>
      <c r="ERB41" s="228"/>
      <c r="ERC41" s="226"/>
      <c r="ERD41" s="226"/>
      <c r="ERE41" s="224"/>
      <c r="ERF41" s="225"/>
      <c r="ERG41" s="226"/>
      <c r="ERH41" s="227"/>
      <c r="ERI41" s="228"/>
      <c r="ERJ41" s="228"/>
      <c r="ERK41" s="228"/>
      <c r="ERL41" s="228"/>
      <c r="ERM41" s="228"/>
      <c r="ERN41" s="228"/>
      <c r="ERO41" s="226"/>
      <c r="ERP41" s="226"/>
      <c r="ERQ41" s="224"/>
      <c r="ERR41" s="225"/>
      <c r="ERS41" s="226"/>
      <c r="ERT41" s="227"/>
      <c r="ERU41" s="228"/>
      <c r="ERV41" s="228"/>
      <c r="ERW41" s="228"/>
      <c r="ERX41" s="228"/>
      <c r="ERY41" s="228"/>
      <c r="ERZ41" s="228"/>
      <c r="ESA41" s="226"/>
      <c r="ESB41" s="226"/>
      <c r="ESC41" s="224"/>
      <c r="ESD41" s="225"/>
      <c r="ESE41" s="226"/>
      <c r="ESF41" s="227"/>
      <c r="ESG41" s="228"/>
      <c r="ESH41" s="228"/>
      <c r="ESI41" s="228"/>
      <c r="ESJ41" s="228"/>
      <c r="ESK41" s="228"/>
      <c r="ESL41" s="228"/>
      <c r="ESM41" s="226"/>
      <c r="ESN41" s="226"/>
      <c r="ESO41" s="224"/>
      <c r="ESP41" s="225"/>
      <c r="ESQ41" s="226"/>
      <c r="ESR41" s="227"/>
      <c r="ESS41" s="228"/>
      <c r="EST41" s="228"/>
      <c r="ESU41" s="228"/>
      <c r="ESV41" s="228"/>
      <c r="ESW41" s="228"/>
      <c r="ESX41" s="228"/>
      <c r="ESY41" s="226"/>
      <c r="ESZ41" s="226"/>
      <c r="ETA41" s="224"/>
      <c r="ETB41" s="225"/>
      <c r="ETC41" s="226"/>
      <c r="ETD41" s="227"/>
      <c r="ETE41" s="228"/>
      <c r="ETF41" s="228"/>
      <c r="ETG41" s="228"/>
      <c r="ETH41" s="228"/>
      <c r="ETI41" s="228"/>
      <c r="ETJ41" s="228"/>
      <c r="ETK41" s="226"/>
      <c r="ETL41" s="226"/>
      <c r="ETM41" s="224"/>
      <c r="ETN41" s="225"/>
      <c r="ETO41" s="226"/>
      <c r="ETP41" s="227"/>
      <c r="ETQ41" s="228"/>
      <c r="ETR41" s="228"/>
      <c r="ETS41" s="228"/>
      <c r="ETT41" s="228"/>
      <c r="ETU41" s="228"/>
      <c r="ETV41" s="228"/>
      <c r="ETW41" s="226"/>
      <c r="ETX41" s="226"/>
      <c r="ETY41" s="224"/>
      <c r="ETZ41" s="225"/>
      <c r="EUA41" s="226"/>
      <c r="EUB41" s="227"/>
      <c r="EUC41" s="228"/>
      <c r="EUD41" s="228"/>
      <c r="EUE41" s="228"/>
      <c r="EUF41" s="228"/>
      <c r="EUG41" s="228"/>
      <c r="EUH41" s="228"/>
      <c r="EUI41" s="226"/>
      <c r="EUJ41" s="226"/>
      <c r="EUK41" s="224"/>
      <c r="EUL41" s="225"/>
      <c r="EUM41" s="226"/>
      <c r="EUN41" s="227"/>
      <c r="EUO41" s="228"/>
      <c r="EUP41" s="228"/>
      <c r="EUQ41" s="228"/>
      <c r="EUR41" s="228"/>
      <c r="EUS41" s="228"/>
      <c r="EUT41" s="228"/>
      <c r="EUU41" s="226"/>
      <c r="EUV41" s="226"/>
      <c r="EUW41" s="224"/>
      <c r="EUX41" s="225"/>
      <c r="EUY41" s="226"/>
      <c r="EUZ41" s="227"/>
      <c r="EVA41" s="228"/>
      <c r="EVB41" s="228"/>
      <c r="EVC41" s="228"/>
      <c r="EVD41" s="228"/>
      <c r="EVE41" s="228"/>
      <c r="EVF41" s="228"/>
      <c r="EVG41" s="226"/>
      <c r="EVH41" s="226"/>
      <c r="EVI41" s="224"/>
      <c r="EVJ41" s="225"/>
      <c r="EVK41" s="226"/>
      <c r="EVL41" s="227"/>
      <c r="EVM41" s="228"/>
      <c r="EVN41" s="228"/>
      <c r="EVO41" s="228"/>
      <c r="EVP41" s="228"/>
      <c r="EVQ41" s="228"/>
      <c r="EVR41" s="228"/>
      <c r="EVS41" s="226"/>
      <c r="EVT41" s="226"/>
      <c r="EVU41" s="224"/>
      <c r="EVV41" s="225"/>
      <c r="EVW41" s="226"/>
      <c r="EVX41" s="227"/>
      <c r="EVY41" s="228"/>
      <c r="EVZ41" s="228"/>
      <c r="EWA41" s="228"/>
      <c r="EWB41" s="228"/>
      <c r="EWC41" s="228"/>
      <c r="EWD41" s="228"/>
      <c r="EWE41" s="226"/>
      <c r="EWF41" s="226"/>
      <c r="EWG41" s="224"/>
      <c r="EWH41" s="225"/>
      <c r="EWI41" s="226"/>
      <c r="EWJ41" s="227"/>
      <c r="EWK41" s="228"/>
      <c r="EWL41" s="228"/>
      <c r="EWM41" s="228"/>
      <c r="EWN41" s="228"/>
      <c r="EWO41" s="228"/>
      <c r="EWP41" s="228"/>
      <c r="EWQ41" s="226"/>
      <c r="EWR41" s="226"/>
      <c r="EWS41" s="224"/>
      <c r="EWT41" s="225"/>
      <c r="EWU41" s="226"/>
      <c r="EWV41" s="227"/>
      <c r="EWW41" s="228"/>
      <c r="EWX41" s="228"/>
      <c r="EWY41" s="228"/>
      <c r="EWZ41" s="228"/>
      <c r="EXA41" s="228"/>
      <c r="EXB41" s="228"/>
      <c r="EXC41" s="226"/>
      <c r="EXD41" s="226"/>
      <c r="EXE41" s="224"/>
      <c r="EXF41" s="225"/>
      <c r="EXG41" s="226"/>
      <c r="EXH41" s="227"/>
      <c r="EXI41" s="228"/>
      <c r="EXJ41" s="228"/>
      <c r="EXK41" s="228"/>
      <c r="EXL41" s="228"/>
      <c r="EXM41" s="228"/>
      <c r="EXN41" s="228"/>
      <c r="EXO41" s="226"/>
      <c r="EXP41" s="226"/>
      <c r="EXQ41" s="224"/>
      <c r="EXR41" s="225"/>
      <c r="EXS41" s="226"/>
      <c r="EXT41" s="227"/>
      <c r="EXU41" s="228"/>
      <c r="EXV41" s="228"/>
      <c r="EXW41" s="228"/>
      <c r="EXX41" s="228"/>
      <c r="EXY41" s="228"/>
      <c r="EXZ41" s="228"/>
      <c r="EYA41" s="226"/>
      <c r="EYB41" s="226"/>
      <c r="EYC41" s="224"/>
      <c r="EYD41" s="225"/>
      <c r="EYE41" s="226"/>
      <c r="EYF41" s="227"/>
      <c r="EYG41" s="228"/>
      <c r="EYH41" s="228"/>
      <c r="EYI41" s="228"/>
      <c r="EYJ41" s="228"/>
      <c r="EYK41" s="228"/>
      <c r="EYL41" s="228"/>
      <c r="EYM41" s="226"/>
      <c r="EYN41" s="226"/>
      <c r="EYO41" s="224"/>
      <c r="EYP41" s="225"/>
      <c r="EYQ41" s="226"/>
      <c r="EYR41" s="227"/>
      <c r="EYS41" s="228"/>
      <c r="EYT41" s="228"/>
      <c r="EYU41" s="228"/>
      <c r="EYV41" s="228"/>
      <c r="EYW41" s="228"/>
      <c r="EYX41" s="228"/>
      <c r="EYY41" s="226"/>
      <c r="EYZ41" s="226"/>
      <c r="EZA41" s="224"/>
      <c r="EZB41" s="225"/>
      <c r="EZC41" s="226"/>
      <c r="EZD41" s="227"/>
      <c r="EZE41" s="228"/>
      <c r="EZF41" s="228"/>
      <c r="EZG41" s="228"/>
      <c r="EZH41" s="228"/>
      <c r="EZI41" s="228"/>
      <c r="EZJ41" s="228"/>
      <c r="EZK41" s="226"/>
      <c r="EZL41" s="226"/>
      <c r="EZM41" s="224"/>
      <c r="EZN41" s="225"/>
      <c r="EZO41" s="226"/>
      <c r="EZP41" s="227"/>
      <c r="EZQ41" s="228"/>
      <c r="EZR41" s="228"/>
      <c r="EZS41" s="228"/>
      <c r="EZT41" s="228"/>
      <c r="EZU41" s="228"/>
      <c r="EZV41" s="228"/>
      <c r="EZW41" s="226"/>
      <c r="EZX41" s="226"/>
      <c r="EZY41" s="224"/>
      <c r="EZZ41" s="225"/>
      <c r="FAA41" s="226"/>
      <c r="FAB41" s="227"/>
      <c r="FAC41" s="228"/>
      <c r="FAD41" s="228"/>
      <c r="FAE41" s="228"/>
      <c r="FAF41" s="228"/>
      <c r="FAG41" s="228"/>
      <c r="FAH41" s="228"/>
      <c r="FAI41" s="226"/>
      <c r="FAJ41" s="226"/>
      <c r="FAK41" s="224"/>
      <c r="FAL41" s="225"/>
      <c r="FAM41" s="226"/>
      <c r="FAN41" s="227"/>
      <c r="FAO41" s="228"/>
      <c r="FAP41" s="228"/>
      <c r="FAQ41" s="228"/>
      <c r="FAR41" s="228"/>
      <c r="FAS41" s="228"/>
      <c r="FAT41" s="228"/>
      <c r="FAU41" s="226"/>
      <c r="FAV41" s="226"/>
      <c r="FAW41" s="224"/>
      <c r="FAX41" s="225"/>
      <c r="FAY41" s="226"/>
      <c r="FAZ41" s="227"/>
      <c r="FBA41" s="228"/>
      <c r="FBB41" s="228"/>
      <c r="FBC41" s="228"/>
      <c r="FBD41" s="228"/>
      <c r="FBE41" s="228"/>
      <c r="FBF41" s="228"/>
      <c r="FBG41" s="226"/>
      <c r="FBH41" s="226"/>
      <c r="FBI41" s="224"/>
      <c r="FBJ41" s="225"/>
      <c r="FBK41" s="226"/>
      <c r="FBL41" s="227"/>
      <c r="FBM41" s="228"/>
      <c r="FBN41" s="228"/>
      <c r="FBO41" s="228"/>
      <c r="FBP41" s="228"/>
      <c r="FBQ41" s="228"/>
      <c r="FBR41" s="228"/>
      <c r="FBS41" s="226"/>
      <c r="FBT41" s="226"/>
      <c r="FBU41" s="224"/>
      <c r="FBV41" s="225"/>
      <c r="FBW41" s="226"/>
      <c r="FBX41" s="227"/>
      <c r="FBY41" s="228"/>
      <c r="FBZ41" s="228"/>
      <c r="FCA41" s="228"/>
      <c r="FCB41" s="228"/>
      <c r="FCC41" s="228"/>
      <c r="FCD41" s="228"/>
      <c r="FCE41" s="226"/>
      <c r="FCF41" s="226"/>
      <c r="FCG41" s="224"/>
      <c r="FCH41" s="225"/>
      <c r="FCI41" s="226"/>
      <c r="FCJ41" s="227"/>
      <c r="FCK41" s="228"/>
      <c r="FCL41" s="228"/>
      <c r="FCM41" s="228"/>
      <c r="FCN41" s="228"/>
      <c r="FCO41" s="228"/>
      <c r="FCP41" s="228"/>
      <c r="FCQ41" s="226"/>
      <c r="FCR41" s="226"/>
      <c r="FCS41" s="224"/>
      <c r="FCT41" s="225"/>
      <c r="FCU41" s="226"/>
      <c r="FCV41" s="227"/>
      <c r="FCW41" s="228"/>
      <c r="FCX41" s="228"/>
      <c r="FCY41" s="228"/>
      <c r="FCZ41" s="228"/>
      <c r="FDA41" s="228"/>
      <c r="FDB41" s="228"/>
      <c r="FDC41" s="226"/>
      <c r="FDD41" s="226"/>
      <c r="FDE41" s="224"/>
      <c r="FDF41" s="225"/>
      <c r="FDG41" s="226"/>
      <c r="FDH41" s="227"/>
      <c r="FDI41" s="228"/>
      <c r="FDJ41" s="228"/>
      <c r="FDK41" s="228"/>
      <c r="FDL41" s="228"/>
      <c r="FDM41" s="228"/>
      <c r="FDN41" s="228"/>
      <c r="FDO41" s="226"/>
      <c r="FDP41" s="226"/>
      <c r="FDQ41" s="224"/>
      <c r="FDR41" s="225"/>
      <c r="FDS41" s="226"/>
      <c r="FDT41" s="227"/>
      <c r="FDU41" s="228"/>
      <c r="FDV41" s="228"/>
      <c r="FDW41" s="228"/>
      <c r="FDX41" s="228"/>
      <c r="FDY41" s="228"/>
      <c r="FDZ41" s="228"/>
      <c r="FEA41" s="226"/>
      <c r="FEB41" s="226"/>
      <c r="FEC41" s="224"/>
      <c r="FED41" s="225"/>
      <c r="FEE41" s="226"/>
      <c r="FEF41" s="227"/>
      <c r="FEG41" s="228"/>
      <c r="FEH41" s="228"/>
      <c r="FEI41" s="228"/>
      <c r="FEJ41" s="228"/>
      <c r="FEK41" s="228"/>
      <c r="FEL41" s="228"/>
      <c r="FEM41" s="226"/>
      <c r="FEN41" s="226"/>
      <c r="FEO41" s="224"/>
      <c r="FEP41" s="225"/>
      <c r="FEQ41" s="226"/>
      <c r="FER41" s="227"/>
      <c r="FES41" s="228"/>
      <c r="FET41" s="228"/>
      <c r="FEU41" s="228"/>
      <c r="FEV41" s="228"/>
      <c r="FEW41" s="228"/>
      <c r="FEX41" s="228"/>
      <c r="FEY41" s="226"/>
      <c r="FEZ41" s="226"/>
      <c r="FFA41" s="224"/>
      <c r="FFB41" s="225"/>
      <c r="FFC41" s="226"/>
      <c r="FFD41" s="227"/>
      <c r="FFE41" s="228"/>
      <c r="FFF41" s="228"/>
      <c r="FFG41" s="228"/>
      <c r="FFH41" s="228"/>
      <c r="FFI41" s="228"/>
      <c r="FFJ41" s="228"/>
      <c r="FFK41" s="226"/>
      <c r="FFL41" s="226"/>
      <c r="FFM41" s="224"/>
      <c r="FFN41" s="225"/>
      <c r="FFO41" s="226"/>
      <c r="FFP41" s="227"/>
      <c r="FFQ41" s="228"/>
      <c r="FFR41" s="228"/>
      <c r="FFS41" s="228"/>
      <c r="FFT41" s="228"/>
      <c r="FFU41" s="228"/>
      <c r="FFV41" s="228"/>
      <c r="FFW41" s="226"/>
      <c r="FFX41" s="226"/>
      <c r="FFY41" s="224"/>
      <c r="FFZ41" s="225"/>
      <c r="FGA41" s="226"/>
      <c r="FGB41" s="227"/>
      <c r="FGC41" s="228"/>
      <c r="FGD41" s="228"/>
      <c r="FGE41" s="228"/>
      <c r="FGF41" s="228"/>
      <c r="FGG41" s="228"/>
      <c r="FGH41" s="228"/>
      <c r="FGI41" s="226"/>
      <c r="FGJ41" s="226"/>
      <c r="FGK41" s="224"/>
      <c r="FGL41" s="225"/>
      <c r="FGM41" s="226"/>
      <c r="FGN41" s="227"/>
      <c r="FGO41" s="228"/>
      <c r="FGP41" s="228"/>
      <c r="FGQ41" s="228"/>
      <c r="FGR41" s="228"/>
      <c r="FGS41" s="228"/>
      <c r="FGT41" s="228"/>
      <c r="FGU41" s="226"/>
      <c r="FGV41" s="226"/>
      <c r="FGW41" s="224"/>
      <c r="FGX41" s="225"/>
      <c r="FGY41" s="226"/>
      <c r="FGZ41" s="227"/>
      <c r="FHA41" s="228"/>
      <c r="FHB41" s="228"/>
      <c r="FHC41" s="228"/>
      <c r="FHD41" s="228"/>
      <c r="FHE41" s="228"/>
      <c r="FHF41" s="228"/>
      <c r="FHG41" s="226"/>
      <c r="FHH41" s="226"/>
      <c r="FHI41" s="224"/>
      <c r="FHJ41" s="225"/>
      <c r="FHK41" s="226"/>
      <c r="FHL41" s="227"/>
      <c r="FHM41" s="228"/>
      <c r="FHN41" s="228"/>
      <c r="FHO41" s="228"/>
      <c r="FHP41" s="228"/>
      <c r="FHQ41" s="228"/>
      <c r="FHR41" s="228"/>
      <c r="FHS41" s="226"/>
      <c r="FHT41" s="226"/>
      <c r="FHU41" s="224"/>
      <c r="FHV41" s="225"/>
      <c r="FHW41" s="226"/>
      <c r="FHX41" s="227"/>
      <c r="FHY41" s="228"/>
      <c r="FHZ41" s="228"/>
      <c r="FIA41" s="228"/>
      <c r="FIB41" s="228"/>
      <c r="FIC41" s="228"/>
      <c r="FID41" s="228"/>
      <c r="FIE41" s="226"/>
      <c r="FIF41" s="226"/>
      <c r="FIG41" s="224"/>
      <c r="FIH41" s="225"/>
      <c r="FII41" s="226"/>
      <c r="FIJ41" s="227"/>
      <c r="FIK41" s="228"/>
      <c r="FIL41" s="228"/>
      <c r="FIM41" s="228"/>
      <c r="FIN41" s="228"/>
      <c r="FIO41" s="228"/>
      <c r="FIP41" s="228"/>
      <c r="FIQ41" s="226"/>
      <c r="FIR41" s="226"/>
      <c r="FIS41" s="224"/>
      <c r="FIT41" s="225"/>
      <c r="FIU41" s="226"/>
      <c r="FIV41" s="227"/>
      <c r="FIW41" s="228"/>
      <c r="FIX41" s="228"/>
      <c r="FIY41" s="228"/>
      <c r="FIZ41" s="228"/>
      <c r="FJA41" s="228"/>
      <c r="FJB41" s="228"/>
      <c r="FJC41" s="226"/>
      <c r="FJD41" s="226"/>
      <c r="FJE41" s="224"/>
      <c r="FJF41" s="225"/>
      <c r="FJG41" s="226"/>
      <c r="FJH41" s="227"/>
      <c r="FJI41" s="228"/>
      <c r="FJJ41" s="228"/>
      <c r="FJK41" s="228"/>
      <c r="FJL41" s="228"/>
      <c r="FJM41" s="228"/>
      <c r="FJN41" s="228"/>
      <c r="FJO41" s="226"/>
      <c r="FJP41" s="226"/>
      <c r="FJQ41" s="224"/>
      <c r="FJR41" s="225"/>
      <c r="FJS41" s="226"/>
      <c r="FJT41" s="227"/>
      <c r="FJU41" s="228"/>
      <c r="FJV41" s="228"/>
      <c r="FJW41" s="228"/>
      <c r="FJX41" s="228"/>
      <c r="FJY41" s="228"/>
      <c r="FJZ41" s="228"/>
      <c r="FKA41" s="226"/>
      <c r="FKB41" s="226"/>
      <c r="FKC41" s="224"/>
      <c r="FKD41" s="225"/>
      <c r="FKE41" s="226"/>
      <c r="FKF41" s="227"/>
      <c r="FKG41" s="228"/>
      <c r="FKH41" s="228"/>
      <c r="FKI41" s="228"/>
      <c r="FKJ41" s="228"/>
      <c r="FKK41" s="228"/>
      <c r="FKL41" s="228"/>
      <c r="FKM41" s="226"/>
      <c r="FKN41" s="226"/>
      <c r="FKO41" s="224"/>
      <c r="FKP41" s="225"/>
      <c r="FKQ41" s="226"/>
      <c r="FKR41" s="227"/>
      <c r="FKS41" s="228"/>
      <c r="FKT41" s="228"/>
      <c r="FKU41" s="228"/>
      <c r="FKV41" s="228"/>
      <c r="FKW41" s="228"/>
      <c r="FKX41" s="228"/>
      <c r="FKY41" s="226"/>
      <c r="FKZ41" s="226"/>
      <c r="FLA41" s="224"/>
      <c r="FLB41" s="225"/>
      <c r="FLC41" s="226"/>
      <c r="FLD41" s="227"/>
      <c r="FLE41" s="228"/>
      <c r="FLF41" s="228"/>
      <c r="FLG41" s="228"/>
      <c r="FLH41" s="228"/>
      <c r="FLI41" s="228"/>
      <c r="FLJ41" s="228"/>
      <c r="FLK41" s="226"/>
      <c r="FLL41" s="226"/>
      <c r="FLM41" s="224"/>
      <c r="FLN41" s="225"/>
      <c r="FLO41" s="226"/>
      <c r="FLP41" s="227"/>
      <c r="FLQ41" s="228"/>
      <c r="FLR41" s="228"/>
      <c r="FLS41" s="228"/>
      <c r="FLT41" s="228"/>
      <c r="FLU41" s="228"/>
      <c r="FLV41" s="228"/>
      <c r="FLW41" s="226"/>
      <c r="FLX41" s="226"/>
      <c r="FLY41" s="224"/>
      <c r="FLZ41" s="225"/>
      <c r="FMA41" s="226"/>
      <c r="FMB41" s="227"/>
      <c r="FMC41" s="228"/>
      <c r="FMD41" s="228"/>
      <c r="FME41" s="228"/>
      <c r="FMF41" s="228"/>
      <c r="FMG41" s="228"/>
      <c r="FMH41" s="228"/>
      <c r="FMI41" s="226"/>
      <c r="FMJ41" s="226"/>
      <c r="FMK41" s="224"/>
      <c r="FML41" s="225"/>
      <c r="FMM41" s="226"/>
      <c r="FMN41" s="227"/>
      <c r="FMO41" s="228"/>
      <c r="FMP41" s="228"/>
      <c r="FMQ41" s="228"/>
      <c r="FMR41" s="228"/>
      <c r="FMS41" s="228"/>
      <c r="FMT41" s="228"/>
      <c r="FMU41" s="226"/>
      <c r="FMV41" s="226"/>
      <c r="FMW41" s="224"/>
      <c r="FMX41" s="225"/>
      <c r="FMY41" s="226"/>
      <c r="FMZ41" s="227"/>
      <c r="FNA41" s="228"/>
      <c r="FNB41" s="228"/>
      <c r="FNC41" s="228"/>
      <c r="FND41" s="228"/>
      <c r="FNE41" s="228"/>
      <c r="FNF41" s="228"/>
      <c r="FNG41" s="226"/>
      <c r="FNH41" s="226"/>
      <c r="FNI41" s="224"/>
      <c r="FNJ41" s="225"/>
      <c r="FNK41" s="226"/>
      <c r="FNL41" s="227"/>
      <c r="FNM41" s="228"/>
      <c r="FNN41" s="228"/>
      <c r="FNO41" s="228"/>
      <c r="FNP41" s="228"/>
      <c r="FNQ41" s="228"/>
      <c r="FNR41" s="228"/>
      <c r="FNS41" s="226"/>
      <c r="FNT41" s="226"/>
      <c r="FNU41" s="224"/>
      <c r="FNV41" s="225"/>
      <c r="FNW41" s="226"/>
      <c r="FNX41" s="227"/>
      <c r="FNY41" s="228"/>
      <c r="FNZ41" s="228"/>
      <c r="FOA41" s="228"/>
      <c r="FOB41" s="228"/>
      <c r="FOC41" s="228"/>
      <c r="FOD41" s="228"/>
      <c r="FOE41" s="226"/>
      <c r="FOF41" s="226"/>
      <c r="FOG41" s="224"/>
      <c r="FOH41" s="225"/>
      <c r="FOI41" s="226"/>
      <c r="FOJ41" s="227"/>
      <c r="FOK41" s="228"/>
      <c r="FOL41" s="228"/>
      <c r="FOM41" s="228"/>
      <c r="FON41" s="228"/>
      <c r="FOO41" s="228"/>
      <c r="FOP41" s="228"/>
      <c r="FOQ41" s="226"/>
      <c r="FOR41" s="226"/>
      <c r="FOS41" s="224"/>
      <c r="FOT41" s="225"/>
      <c r="FOU41" s="226"/>
      <c r="FOV41" s="227"/>
      <c r="FOW41" s="228"/>
      <c r="FOX41" s="228"/>
      <c r="FOY41" s="228"/>
      <c r="FOZ41" s="228"/>
      <c r="FPA41" s="228"/>
      <c r="FPB41" s="228"/>
      <c r="FPC41" s="226"/>
      <c r="FPD41" s="226"/>
      <c r="FPE41" s="224"/>
      <c r="FPF41" s="225"/>
      <c r="FPG41" s="226"/>
      <c r="FPH41" s="227"/>
      <c r="FPI41" s="228"/>
      <c r="FPJ41" s="228"/>
      <c r="FPK41" s="228"/>
      <c r="FPL41" s="228"/>
      <c r="FPM41" s="228"/>
      <c r="FPN41" s="228"/>
      <c r="FPO41" s="226"/>
      <c r="FPP41" s="226"/>
      <c r="FPQ41" s="224"/>
      <c r="FPR41" s="225"/>
      <c r="FPS41" s="226"/>
      <c r="FPT41" s="227"/>
      <c r="FPU41" s="228"/>
      <c r="FPV41" s="228"/>
      <c r="FPW41" s="228"/>
      <c r="FPX41" s="228"/>
      <c r="FPY41" s="228"/>
      <c r="FPZ41" s="228"/>
      <c r="FQA41" s="226"/>
      <c r="FQB41" s="226"/>
      <c r="FQC41" s="224"/>
      <c r="FQD41" s="225"/>
      <c r="FQE41" s="226"/>
      <c r="FQF41" s="227"/>
      <c r="FQG41" s="228"/>
      <c r="FQH41" s="228"/>
      <c r="FQI41" s="228"/>
      <c r="FQJ41" s="228"/>
      <c r="FQK41" s="228"/>
      <c r="FQL41" s="228"/>
      <c r="FQM41" s="226"/>
      <c r="FQN41" s="226"/>
      <c r="FQO41" s="224"/>
      <c r="FQP41" s="225"/>
      <c r="FQQ41" s="226"/>
      <c r="FQR41" s="227"/>
      <c r="FQS41" s="228"/>
      <c r="FQT41" s="228"/>
      <c r="FQU41" s="228"/>
      <c r="FQV41" s="228"/>
      <c r="FQW41" s="228"/>
      <c r="FQX41" s="228"/>
      <c r="FQY41" s="226"/>
      <c r="FQZ41" s="226"/>
      <c r="FRA41" s="224"/>
      <c r="FRB41" s="225"/>
      <c r="FRC41" s="226"/>
      <c r="FRD41" s="227"/>
      <c r="FRE41" s="228"/>
      <c r="FRF41" s="228"/>
      <c r="FRG41" s="228"/>
      <c r="FRH41" s="228"/>
      <c r="FRI41" s="228"/>
      <c r="FRJ41" s="228"/>
      <c r="FRK41" s="226"/>
      <c r="FRL41" s="226"/>
      <c r="FRM41" s="224"/>
      <c r="FRN41" s="225"/>
      <c r="FRO41" s="226"/>
      <c r="FRP41" s="227"/>
      <c r="FRQ41" s="228"/>
      <c r="FRR41" s="228"/>
      <c r="FRS41" s="228"/>
      <c r="FRT41" s="228"/>
      <c r="FRU41" s="228"/>
      <c r="FRV41" s="228"/>
      <c r="FRW41" s="226"/>
      <c r="FRX41" s="226"/>
      <c r="FRY41" s="224"/>
      <c r="FRZ41" s="225"/>
      <c r="FSA41" s="226"/>
      <c r="FSB41" s="227"/>
      <c r="FSC41" s="228"/>
      <c r="FSD41" s="228"/>
      <c r="FSE41" s="228"/>
      <c r="FSF41" s="228"/>
      <c r="FSG41" s="228"/>
      <c r="FSH41" s="228"/>
      <c r="FSI41" s="226"/>
      <c r="FSJ41" s="226"/>
      <c r="FSK41" s="224"/>
      <c r="FSL41" s="225"/>
      <c r="FSM41" s="226"/>
      <c r="FSN41" s="227"/>
      <c r="FSO41" s="228"/>
      <c r="FSP41" s="228"/>
      <c r="FSQ41" s="228"/>
      <c r="FSR41" s="228"/>
      <c r="FSS41" s="228"/>
      <c r="FST41" s="228"/>
      <c r="FSU41" s="226"/>
      <c r="FSV41" s="226"/>
      <c r="FSW41" s="224"/>
      <c r="FSX41" s="225"/>
      <c r="FSY41" s="226"/>
      <c r="FSZ41" s="227"/>
      <c r="FTA41" s="228"/>
      <c r="FTB41" s="228"/>
      <c r="FTC41" s="228"/>
      <c r="FTD41" s="228"/>
      <c r="FTE41" s="228"/>
      <c r="FTF41" s="228"/>
      <c r="FTG41" s="226"/>
      <c r="FTH41" s="226"/>
      <c r="FTI41" s="224"/>
      <c r="FTJ41" s="225"/>
      <c r="FTK41" s="226"/>
      <c r="FTL41" s="227"/>
      <c r="FTM41" s="228"/>
      <c r="FTN41" s="228"/>
      <c r="FTO41" s="228"/>
      <c r="FTP41" s="228"/>
      <c r="FTQ41" s="228"/>
      <c r="FTR41" s="228"/>
      <c r="FTS41" s="226"/>
      <c r="FTT41" s="226"/>
      <c r="FTU41" s="224"/>
      <c r="FTV41" s="225"/>
      <c r="FTW41" s="226"/>
      <c r="FTX41" s="227"/>
      <c r="FTY41" s="228"/>
      <c r="FTZ41" s="228"/>
      <c r="FUA41" s="228"/>
      <c r="FUB41" s="228"/>
      <c r="FUC41" s="228"/>
      <c r="FUD41" s="228"/>
      <c r="FUE41" s="226"/>
      <c r="FUF41" s="226"/>
      <c r="FUG41" s="224"/>
      <c r="FUH41" s="225"/>
      <c r="FUI41" s="226"/>
      <c r="FUJ41" s="227"/>
      <c r="FUK41" s="228"/>
      <c r="FUL41" s="228"/>
      <c r="FUM41" s="228"/>
      <c r="FUN41" s="228"/>
      <c r="FUO41" s="228"/>
      <c r="FUP41" s="228"/>
      <c r="FUQ41" s="226"/>
      <c r="FUR41" s="226"/>
      <c r="FUS41" s="224"/>
      <c r="FUT41" s="225"/>
      <c r="FUU41" s="226"/>
      <c r="FUV41" s="227"/>
      <c r="FUW41" s="228"/>
      <c r="FUX41" s="228"/>
      <c r="FUY41" s="228"/>
      <c r="FUZ41" s="228"/>
      <c r="FVA41" s="228"/>
      <c r="FVB41" s="228"/>
      <c r="FVC41" s="226"/>
      <c r="FVD41" s="226"/>
      <c r="FVE41" s="224"/>
      <c r="FVF41" s="225"/>
      <c r="FVG41" s="226"/>
      <c r="FVH41" s="227"/>
      <c r="FVI41" s="228"/>
      <c r="FVJ41" s="228"/>
      <c r="FVK41" s="228"/>
      <c r="FVL41" s="228"/>
      <c r="FVM41" s="228"/>
      <c r="FVN41" s="228"/>
      <c r="FVO41" s="226"/>
      <c r="FVP41" s="226"/>
      <c r="FVQ41" s="224"/>
      <c r="FVR41" s="225"/>
      <c r="FVS41" s="226"/>
      <c r="FVT41" s="227"/>
      <c r="FVU41" s="228"/>
      <c r="FVV41" s="228"/>
      <c r="FVW41" s="228"/>
      <c r="FVX41" s="228"/>
      <c r="FVY41" s="228"/>
      <c r="FVZ41" s="228"/>
      <c r="FWA41" s="226"/>
      <c r="FWB41" s="226"/>
      <c r="FWC41" s="224"/>
      <c r="FWD41" s="225"/>
      <c r="FWE41" s="226"/>
      <c r="FWF41" s="227"/>
      <c r="FWG41" s="228"/>
      <c r="FWH41" s="228"/>
      <c r="FWI41" s="228"/>
      <c r="FWJ41" s="228"/>
      <c r="FWK41" s="228"/>
      <c r="FWL41" s="228"/>
      <c r="FWM41" s="226"/>
      <c r="FWN41" s="226"/>
      <c r="FWO41" s="224"/>
      <c r="FWP41" s="225"/>
      <c r="FWQ41" s="226"/>
      <c r="FWR41" s="227"/>
      <c r="FWS41" s="228"/>
      <c r="FWT41" s="228"/>
      <c r="FWU41" s="228"/>
      <c r="FWV41" s="228"/>
      <c r="FWW41" s="228"/>
      <c r="FWX41" s="228"/>
      <c r="FWY41" s="226"/>
      <c r="FWZ41" s="226"/>
      <c r="FXA41" s="224"/>
      <c r="FXB41" s="225"/>
      <c r="FXC41" s="226"/>
      <c r="FXD41" s="227"/>
      <c r="FXE41" s="228"/>
      <c r="FXF41" s="228"/>
      <c r="FXG41" s="228"/>
      <c r="FXH41" s="228"/>
      <c r="FXI41" s="228"/>
      <c r="FXJ41" s="228"/>
      <c r="FXK41" s="226"/>
      <c r="FXL41" s="226"/>
      <c r="FXM41" s="224"/>
      <c r="FXN41" s="225"/>
      <c r="FXO41" s="226"/>
      <c r="FXP41" s="227"/>
      <c r="FXQ41" s="228"/>
      <c r="FXR41" s="228"/>
      <c r="FXS41" s="228"/>
      <c r="FXT41" s="228"/>
      <c r="FXU41" s="228"/>
      <c r="FXV41" s="228"/>
      <c r="FXW41" s="226"/>
      <c r="FXX41" s="226"/>
      <c r="FXY41" s="224"/>
      <c r="FXZ41" s="225"/>
      <c r="FYA41" s="226"/>
      <c r="FYB41" s="227"/>
      <c r="FYC41" s="228"/>
      <c r="FYD41" s="228"/>
      <c r="FYE41" s="228"/>
      <c r="FYF41" s="228"/>
      <c r="FYG41" s="228"/>
      <c r="FYH41" s="228"/>
      <c r="FYI41" s="226"/>
      <c r="FYJ41" s="226"/>
      <c r="FYK41" s="224"/>
      <c r="FYL41" s="225"/>
      <c r="FYM41" s="226"/>
      <c r="FYN41" s="227"/>
      <c r="FYO41" s="228"/>
      <c r="FYP41" s="228"/>
      <c r="FYQ41" s="228"/>
      <c r="FYR41" s="228"/>
      <c r="FYS41" s="228"/>
      <c r="FYT41" s="228"/>
      <c r="FYU41" s="226"/>
      <c r="FYV41" s="226"/>
      <c r="FYW41" s="224"/>
      <c r="FYX41" s="225"/>
      <c r="FYY41" s="226"/>
      <c r="FYZ41" s="227"/>
      <c r="FZA41" s="228"/>
      <c r="FZB41" s="228"/>
      <c r="FZC41" s="228"/>
      <c r="FZD41" s="228"/>
      <c r="FZE41" s="228"/>
      <c r="FZF41" s="228"/>
      <c r="FZG41" s="226"/>
      <c r="FZH41" s="226"/>
      <c r="FZI41" s="224"/>
      <c r="FZJ41" s="225"/>
      <c r="FZK41" s="226"/>
      <c r="FZL41" s="227"/>
      <c r="FZM41" s="228"/>
      <c r="FZN41" s="228"/>
      <c r="FZO41" s="228"/>
      <c r="FZP41" s="228"/>
      <c r="FZQ41" s="228"/>
      <c r="FZR41" s="228"/>
      <c r="FZS41" s="226"/>
      <c r="FZT41" s="226"/>
      <c r="FZU41" s="224"/>
      <c r="FZV41" s="225"/>
      <c r="FZW41" s="226"/>
      <c r="FZX41" s="227"/>
      <c r="FZY41" s="228"/>
      <c r="FZZ41" s="228"/>
      <c r="GAA41" s="228"/>
      <c r="GAB41" s="228"/>
      <c r="GAC41" s="228"/>
      <c r="GAD41" s="228"/>
      <c r="GAE41" s="226"/>
      <c r="GAF41" s="226"/>
      <c r="GAG41" s="224"/>
      <c r="GAH41" s="225"/>
      <c r="GAI41" s="226"/>
      <c r="GAJ41" s="227"/>
      <c r="GAK41" s="228"/>
      <c r="GAL41" s="228"/>
      <c r="GAM41" s="228"/>
      <c r="GAN41" s="228"/>
      <c r="GAO41" s="228"/>
      <c r="GAP41" s="228"/>
      <c r="GAQ41" s="226"/>
      <c r="GAR41" s="226"/>
      <c r="GAS41" s="224"/>
      <c r="GAT41" s="225"/>
      <c r="GAU41" s="226"/>
      <c r="GAV41" s="227"/>
      <c r="GAW41" s="228"/>
      <c r="GAX41" s="228"/>
      <c r="GAY41" s="228"/>
      <c r="GAZ41" s="228"/>
      <c r="GBA41" s="228"/>
      <c r="GBB41" s="228"/>
      <c r="GBC41" s="226"/>
      <c r="GBD41" s="226"/>
      <c r="GBE41" s="224"/>
      <c r="GBF41" s="225"/>
      <c r="GBG41" s="226"/>
      <c r="GBH41" s="227"/>
      <c r="GBI41" s="228"/>
      <c r="GBJ41" s="228"/>
      <c r="GBK41" s="228"/>
      <c r="GBL41" s="228"/>
      <c r="GBM41" s="228"/>
      <c r="GBN41" s="228"/>
      <c r="GBO41" s="226"/>
      <c r="GBP41" s="226"/>
      <c r="GBQ41" s="224"/>
      <c r="GBR41" s="225"/>
      <c r="GBS41" s="226"/>
      <c r="GBT41" s="227"/>
      <c r="GBU41" s="228"/>
      <c r="GBV41" s="228"/>
      <c r="GBW41" s="228"/>
      <c r="GBX41" s="228"/>
      <c r="GBY41" s="228"/>
      <c r="GBZ41" s="228"/>
      <c r="GCA41" s="226"/>
      <c r="GCB41" s="226"/>
      <c r="GCC41" s="224"/>
      <c r="GCD41" s="225"/>
      <c r="GCE41" s="226"/>
      <c r="GCF41" s="227"/>
      <c r="GCG41" s="228"/>
      <c r="GCH41" s="228"/>
      <c r="GCI41" s="228"/>
      <c r="GCJ41" s="228"/>
      <c r="GCK41" s="228"/>
      <c r="GCL41" s="228"/>
      <c r="GCM41" s="226"/>
      <c r="GCN41" s="226"/>
      <c r="GCO41" s="224"/>
      <c r="GCP41" s="225"/>
      <c r="GCQ41" s="226"/>
      <c r="GCR41" s="227"/>
      <c r="GCS41" s="228"/>
      <c r="GCT41" s="228"/>
      <c r="GCU41" s="228"/>
      <c r="GCV41" s="228"/>
      <c r="GCW41" s="228"/>
      <c r="GCX41" s="228"/>
      <c r="GCY41" s="226"/>
      <c r="GCZ41" s="226"/>
      <c r="GDA41" s="224"/>
      <c r="GDB41" s="225"/>
      <c r="GDC41" s="226"/>
      <c r="GDD41" s="227"/>
      <c r="GDE41" s="228"/>
      <c r="GDF41" s="228"/>
      <c r="GDG41" s="228"/>
      <c r="GDH41" s="228"/>
      <c r="GDI41" s="228"/>
      <c r="GDJ41" s="228"/>
      <c r="GDK41" s="226"/>
      <c r="GDL41" s="226"/>
      <c r="GDM41" s="224"/>
      <c r="GDN41" s="225"/>
      <c r="GDO41" s="226"/>
      <c r="GDP41" s="227"/>
      <c r="GDQ41" s="228"/>
      <c r="GDR41" s="228"/>
      <c r="GDS41" s="228"/>
      <c r="GDT41" s="228"/>
      <c r="GDU41" s="228"/>
      <c r="GDV41" s="228"/>
      <c r="GDW41" s="226"/>
      <c r="GDX41" s="226"/>
      <c r="GDY41" s="224"/>
      <c r="GDZ41" s="225"/>
      <c r="GEA41" s="226"/>
      <c r="GEB41" s="227"/>
      <c r="GEC41" s="228"/>
      <c r="GED41" s="228"/>
      <c r="GEE41" s="228"/>
      <c r="GEF41" s="228"/>
      <c r="GEG41" s="228"/>
      <c r="GEH41" s="228"/>
      <c r="GEI41" s="226"/>
      <c r="GEJ41" s="226"/>
      <c r="GEK41" s="224"/>
      <c r="GEL41" s="225"/>
      <c r="GEM41" s="226"/>
      <c r="GEN41" s="227"/>
      <c r="GEO41" s="228"/>
      <c r="GEP41" s="228"/>
      <c r="GEQ41" s="228"/>
      <c r="GER41" s="228"/>
      <c r="GES41" s="228"/>
      <c r="GET41" s="228"/>
      <c r="GEU41" s="226"/>
      <c r="GEV41" s="226"/>
      <c r="GEW41" s="224"/>
      <c r="GEX41" s="225"/>
      <c r="GEY41" s="226"/>
      <c r="GEZ41" s="227"/>
      <c r="GFA41" s="228"/>
      <c r="GFB41" s="228"/>
      <c r="GFC41" s="228"/>
      <c r="GFD41" s="228"/>
      <c r="GFE41" s="228"/>
      <c r="GFF41" s="228"/>
      <c r="GFG41" s="226"/>
      <c r="GFH41" s="226"/>
      <c r="GFI41" s="224"/>
      <c r="GFJ41" s="225"/>
      <c r="GFK41" s="226"/>
      <c r="GFL41" s="227"/>
      <c r="GFM41" s="228"/>
      <c r="GFN41" s="228"/>
      <c r="GFO41" s="228"/>
      <c r="GFP41" s="228"/>
      <c r="GFQ41" s="228"/>
      <c r="GFR41" s="228"/>
      <c r="GFS41" s="226"/>
      <c r="GFT41" s="226"/>
      <c r="GFU41" s="224"/>
      <c r="GFV41" s="225"/>
      <c r="GFW41" s="226"/>
      <c r="GFX41" s="227"/>
      <c r="GFY41" s="228"/>
      <c r="GFZ41" s="228"/>
      <c r="GGA41" s="228"/>
      <c r="GGB41" s="228"/>
      <c r="GGC41" s="228"/>
      <c r="GGD41" s="228"/>
      <c r="GGE41" s="226"/>
      <c r="GGF41" s="226"/>
      <c r="GGG41" s="224"/>
      <c r="GGH41" s="225"/>
      <c r="GGI41" s="226"/>
      <c r="GGJ41" s="227"/>
      <c r="GGK41" s="228"/>
      <c r="GGL41" s="228"/>
      <c r="GGM41" s="228"/>
      <c r="GGN41" s="228"/>
      <c r="GGO41" s="228"/>
      <c r="GGP41" s="228"/>
      <c r="GGQ41" s="226"/>
      <c r="GGR41" s="226"/>
      <c r="GGS41" s="224"/>
      <c r="GGT41" s="225"/>
      <c r="GGU41" s="226"/>
      <c r="GGV41" s="227"/>
      <c r="GGW41" s="228"/>
      <c r="GGX41" s="228"/>
      <c r="GGY41" s="228"/>
      <c r="GGZ41" s="228"/>
      <c r="GHA41" s="228"/>
      <c r="GHB41" s="228"/>
      <c r="GHC41" s="226"/>
      <c r="GHD41" s="226"/>
      <c r="GHE41" s="224"/>
      <c r="GHF41" s="225"/>
      <c r="GHG41" s="226"/>
      <c r="GHH41" s="227"/>
      <c r="GHI41" s="228"/>
      <c r="GHJ41" s="228"/>
      <c r="GHK41" s="228"/>
      <c r="GHL41" s="228"/>
      <c r="GHM41" s="228"/>
      <c r="GHN41" s="228"/>
      <c r="GHO41" s="226"/>
      <c r="GHP41" s="226"/>
      <c r="GHQ41" s="224"/>
      <c r="GHR41" s="225"/>
      <c r="GHS41" s="226"/>
      <c r="GHT41" s="227"/>
      <c r="GHU41" s="228"/>
      <c r="GHV41" s="228"/>
      <c r="GHW41" s="228"/>
      <c r="GHX41" s="228"/>
      <c r="GHY41" s="228"/>
      <c r="GHZ41" s="228"/>
      <c r="GIA41" s="226"/>
      <c r="GIB41" s="226"/>
      <c r="GIC41" s="224"/>
      <c r="GID41" s="225"/>
      <c r="GIE41" s="226"/>
      <c r="GIF41" s="227"/>
      <c r="GIG41" s="228"/>
      <c r="GIH41" s="228"/>
      <c r="GII41" s="228"/>
      <c r="GIJ41" s="228"/>
      <c r="GIK41" s="228"/>
      <c r="GIL41" s="228"/>
      <c r="GIM41" s="226"/>
      <c r="GIN41" s="226"/>
      <c r="GIO41" s="224"/>
      <c r="GIP41" s="225"/>
      <c r="GIQ41" s="226"/>
      <c r="GIR41" s="227"/>
      <c r="GIS41" s="228"/>
      <c r="GIT41" s="228"/>
      <c r="GIU41" s="228"/>
      <c r="GIV41" s="228"/>
      <c r="GIW41" s="228"/>
      <c r="GIX41" s="228"/>
      <c r="GIY41" s="226"/>
      <c r="GIZ41" s="226"/>
      <c r="GJA41" s="224"/>
      <c r="GJB41" s="225"/>
      <c r="GJC41" s="226"/>
      <c r="GJD41" s="227"/>
      <c r="GJE41" s="228"/>
      <c r="GJF41" s="228"/>
      <c r="GJG41" s="228"/>
      <c r="GJH41" s="228"/>
      <c r="GJI41" s="228"/>
      <c r="GJJ41" s="228"/>
      <c r="GJK41" s="226"/>
      <c r="GJL41" s="226"/>
      <c r="GJM41" s="224"/>
      <c r="GJN41" s="225"/>
      <c r="GJO41" s="226"/>
      <c r="GJP41" s="227"/>
      <c r="GJQ41" s="228"/>
      <c r="GJR41" s="228"/>
      <c r="GJS41" s="228"/>
      <c r="GJT41" s="228"/>
      <c r="GJU41" s="228"/>
      <c r="GJV41" s="228"/>
      <c r="GJW41" s="226"/>
      <c r="GJX41" s="226"/>
      <c r="GJY41" s="224"/>
      <c r="GJZ41" s="225"/>
      <c r="GKA41" s="226"/>
      <c r="GKB41" s="227"/>
      <c r="GKC41" s="228"/>
      <c r="GKD41" s="228"/>
      <c r="GKE41" s="228"/>
      <c r="GKF41" s="228"/>
      <c r="GKG41" s="228"/>
      <c r="GKH41" s="228"/>
      <c r="GKI41" s="226"/>
      <c r="GKJ41" s="226"/>
      <c r="GKK41" s="224"/>
      <c r="GKL41" s="225"/>
      <c r="GKM41" s="226"/>
      <c r="GKN41" s="227"/>
      <c r="GKO41" s="228"/>
      <c r="GKP41" s="228"/>
      <c r="GKQ41" s="228"/>
      <c r="GKR41" s="228"/>
      <c r="GKS41" s="228"/>
      <c r="GKT41" s="228"/>
      <c r="GKU41" s="226"/>
      <c r="GKV41" s="226"/>
      <c r="GKW41" s="224"/>
      <c r="GKX41" s="225"/>
      <c r="GKY41" s="226"/>
      <c r="GKZ41" s="227"/>
      <c r="GLA41" s="228"/>
      <c r="GLB41" s="228"/>
      <c r="GLC41" s="228"/>
      <c r="GLD41" s="228"/>
      <c r="GLE41" s="228"/>
      <c r="GLF41" s="228"/>
      <c r="GLG41" s="226"/>
      <c r="GLH41" s="226"/>
      <c r="GLI41" s="224"/>
      <c r="GLJ41" s="225"/>
      <c r="GLK41" s="226"/>
      <c r="GLL41" s="227"/>
      <c r="GLM41" s="228"/>
      <c r="GLN41" s="228"/>
      <c r="GLO41" s="228"/>
      <c r="GLP41" s="228"/>
      <c r="GLQ41" s="228"/>
      <c r="GLR41" s="228"/>
      <c r="GLS41" s="226"/>
      <c r="GLT41" s="226"/>
      <c r="GLU41" s="224"/>
      <c r="GLV41" s="225"/>
      <c r="GLW41" s="226"/>
      <c r="GLX41" s="227"/>
      <c r="GLY41" s="228"/>
      <c r="GLZ41" s="228"/>
      <c r="GMA41" s="228"/>
      <c r="GMB41" s="228"/>
      <c r="GMC41" s="228"/>
      <c r="GMD41" s="228"/>
      <c r="GME41" s="226"/>
      <c r="GMF41" s="226"/>
      <c r="GMG41" s="224"/>
      <c r="GMH41" s="225"/>
      <c r="GMI41" s="226"/>
      <c r="GMJ41" s="227"/>
      <c r="GMK41" s="228"/>
      <c r="GML41" s="228"/>
      <c r="GMM41" s="228"/>
      <c r="GMN41" s="228"/>
      <c r="GMO41" s="228"/>
      <c r="GMP41" s="228"/>
      <c r="GMQ41" s="226"/>
      <c r="GMR41" s="226"/>
      <c r="GMS41" s="224"/>
      <c r="GMT41" s="225"/>
      <c r="GMU41" s="226"/>
      <c r="GMV41" s="227"/>
      <c r="GMW41" s="228"/>
      <c r="GMX41" s="228"/>
      <c r="GMY41" s="228"/>
      <c r="GMZ41" s="228"/>
      <c r="GNA41" s="228"/>
      <c r="GNB41" s="228"/>
      <c r="GNC41" s="226"/>
      <c r="GND41" s="226"/>
      <c r="GNE41" s="224"/>
      <c r="GNF41" s="225"/>
      <c r="GNG41" s="226"/>
      <c r="GNH41" s="227"/>
      <c r="GNI41" s="228"/>
      <c r="GNJ41" s="228"/>
      <c r="GNK41" s="228"/>
      <c r="GNL41" s="228"/>
      <c r="GNM41" s="228"/>
      <c r="GNN41" s="228"/>
      <c r="GNO41" s="226"/>
      <c r="GNP41" s="226"/>
      <c r="GNQ41" s="224"/>
      <c r="GNR41" s="225"/>
      <c r="GNS41" s="226"/>
      <c r="GNT41" s="227"/>
      <c r="GNU41" s="228"/>
      <c r="GNV41" s="228"/>
      <c r="GNW41" s="228"/>
      <c r="GNX41" s="228"/>
      <c r="GNY41" s="228"/>
      <c r="GNZ41" s="228"/>
      <c r="GOA41" s="226"/>
      <c r="GOB41" s="226"/>
      <c r="GOC41" s="224"/>
      <c r="GOD41" s="225"/>
      <c r="GOE41" s="226"/>
      <c r="GOF41" s="227"/>
      <c r="GOG41" s="228"/>
      <c r="GOH41" s="228"/>
      <c r="GOI41" s="228"/>
      <c r="GOJ41" s="228"/>
      <c r="GOK41" s="228"/>
      <c r="GOL41" s="228"/>
      <c r="GOM41" s="226"/>
      <c r="GON41" s="226"/>
      <c r="GOO41" s="224"/>
      <c r="GOP41" s="225"/>
      <c r="GOQ41" s="226"/>
      <c r="GOR41" s="227"/>
      <c r="GOS41" s="228"/>
      <c r="GOT41" s="228"/>
      <c r="GOU41" s="228"/>
      <c r="GOV41" s="228"/>
      <c r="GOW41" s="228"/>
      <c r="GOX41" s="228"/>
      <c r="GOY41" s="226"/>
      <c r="GOZ41" s="226"/>
      <c r="GPA41" s="224"/>
      <c r="GPB41" s="225"/>
      <c r="GPC41" s="226"/>
      <c r="GPD41" s="227"/>
      <c r="GPE41" s="228"/>
      <c r="GPF41" s="228"/>
      <c r="GPG41" s="228"/>
      <c r="GPH41" s="228"/>
      <c r="GPI41" s="228"/>
      <c r="GPJ41" s="228"/>
      <c r="GPK41" s="226"/>
      <c r="GPL41" s="226"/>
      <c r="GPM41" s="224"/>
      <c r="GPN41" s="225"/>
      <c r="GPO41" s="226"/>
      <c r="GPP41" s="227"/>
      <c r="GPQ41" s="228"/>
      <c r="GPR41" s="228"/>
      <c r="GPS41" s="228"/>
      <c r="GPT41" s="228"/>
      <c r="GPU41" s="228"/>
      <c r="GPV41" s="228"/>
      <c r="GPW41" s="226"/>
      <c r="GPX41" s="226"/>
      <c r="GPY41" s="224"/>
      <c r="GPZ41" s="225"/>
      <c r="GQA41" s="226"/>
      <c r="GQB41" s="227"/>
      <c r="GQC41" s="228"/>
      <c r="GQD41" s="228"/>
      <c r="GQE41" s="228"/>
      <c r="GQF41" s="228"/>
      <c r="GQG41" s="228"/>
      <c r="GQH41" s="228"/>
      <c r="GQI41" s="226"/>
      <c r="GQJ41" s="226"/>
      <c r="GQK41" s="224"/>
      <c r="GQL41" s="225"/>
      <c r="GQM41" s="226"/>
      <c r="GQN41" s="227"/>
      <c r="GQO41" s="228"/>
      <c r="GQP41" s="228"/>
      <c r="GQQ41" s="228"/>
      <c r="GQR41" s="228"/>
      <c r="GQS41" s="228"/>
      <c r="GQT41" s="228"/>
      <c r="GQU41" s="226"/>
      <c r="GQV41" s="226"/>
      <c r="GQW41" s="224"/>
      <c r="GQX41" s="225"/>
      <c r="GQY41" s="226"/>
      <c r="GQZ41" s="227"/>
      <c r="GRA41" s="228"/>
      <c r="GRB41" s="228"/>
      <c r="GRC41" s="228"/>
      <c r="GRD41" s="228"/>
      <c r="GRE41" s="228"/>
      <c r="GRF41" s="228"/>
      <c r="GRG41" s="226"/>
      <c r="GRH41" s="226"/>
      <c r="GRI41" s="224"/>
      <c r="GRJ41" s="225"/>
      <c r="GRK41" s="226"/>
      <c r="GRL41" s="227"/>
      <c r="GRM41" s="228"/>
      <c r="GRN41" s="228"/>
      <c r="GRO41" s="228"/>
      <c r="GRP41" s="228"/>
      <c r="GRQ41" s="228"/>
      <c r="GRR41" s="228"/>
      <c r="GRS41" s="226"/>
      <c r="GRT41" s="226"/>
      <c r="GRU41" s="224"/>
      <c r="GRV41" s="225"/>
      <c r="GRW41" s="226"/>
      <c r="GRX41" s="227"/>
      <c r="GRY41" s="228"/>
      <c r="GRZ41" s="228"/>
      <c r="GSA41" s="228"/>
      <c r="GSB41" s="228"/>
      <c r="GSC41" s="228"/>
      <c r="GSD41" s="228"/>
      <c r="GSE41" s="226"/>
      <c r="GSF41" s="226"/>
      <c r="GSG41" s="224"/>
      <c r="GSH41" s="225"/>
      <c r="GSI41" s="226"/>
      <c r="GSJ41" s="227"/>
      <c r="GSK41" s="228"/>
      <c r="GSL41" s="228"/>
      <c r="GSM41" s="228"/>
      <c r="GSN41" s="228"/>
      <c r="GSO41" s="228"/>
      <c r="GSP41" s="228"/>
      <c r="GSQ41" s="226"/>
      <c r="GSR41" s="226"/>
      <c r="GSS41" s="224"/>
      <c r="GST41" s="225"/>
      <c r="GSU41" s="226"/>
      <c r="GSV41" s="227"/>
      <c r="GSW41" s="228"/>
      <c r="GSX41" s="228"/>
      <c r="GSY41" s="228"/>
      <c r="GSZ41" s="228"/>
      <c r="GTA41" s="228"/>
      <c r="GTB41" s="228"/>
      <c r="GTC41" s="226"/>
      <c r="GTD41" s="226"/>
      <c r="GTE41" s="224"/>
      <c r="GTF41" s="225"/>
      <c r="GTG41" s="226"/>
      <c r="GTH41" s="227"/>
      <c r="GTI41" s="228"/>
      <c r="GTJ41" s="228"/>
      <c r="GTK41" s="228"/>
      <c r="GTL41" s="228"/>
      <c r="GTM41" s="228"/>
      <c r="GTN41" s="228"/>
      <c r="GTO41" s="226"/>
      <c r="GTP41" s="226"/>
      <c r="GTQ41" s="224"/>
      <c r="GTR41" s="225"/>
      <c r="GTS41" s="226"/>
      <c r="GTT41" s="227"/>
      <c r="GTU41" s="228"/>
      <c r="GTV41" s="228"/>
      <c r="GTW41" s="228"/>
      <c r="GTX41" s="228"/>
      <c r="GTY41" s="228"/>
      <c r="GTZ41" s="228"/>
      <c r="GUA41" s="226"/>
      <c r="GUB41" s="226"/>
      <c r="GUC41" s="224"/>
      <c r="GUD41" s="225"/>
      <c r="GUE41" s="226"/>
      <c r="GUF41" s="227"/>
      <c r="GUG41" s="228"/>
      <c r="GUH41" s="228"/>
      <c r="GUI41" s="228"/>
      <c r="GUJ41" s="228"/>
      <c r="GUK41" s="228"/>
      <c r="GUL41" s="228"/>
      <c r="GUM41" s="226"/>
      <c r="GUN41" s="226"/>
      <c r="GUO41" s="224"/>
      <c r="GUP41" s="225"/>
      <c r="GUQ41" s="226"/>
      <c r="GUR41" s="227"/>
      <c r="GUS41" s="228"/>
      <c r="GUT41" s="228"/>
      <c r="GUU41" s="228"/>
      <c r="GUV41" s="228"/>
      <c r="GUW41" s="228"/>
      <c r="GUX41" s="228"/>
      <c r="GUY41" s="226"/>
      <c r="GUZ41" s="226"/>
      <c r="GVA41" s="224"/>
      <c r="GVB41" s="225"/>
      <c r="GVC41" s="226"/>
      <c r="GVD41" s="227"/>
      <c r="GVE41" s="228"/>
      <c r="GVF41" s="228"/>
      <c r="GVG41" s="228"/>
      <c r="GVH41" s="228"/>
      <c r="GVI41" s="228"/>
      <c r="GVJ41" s="228"/>
      <c r="GVK41" s="226"/>
      <c r="GVL41" s="226"/>
      <c r="GVM41" s="224"/>
      <c r="GVN41" s="225"/>
      <c r="GVO41" s="226"/>
      <c r="GVP41" s="227"/>
      <c r="GVQ41" s="228"/>
      <c r="GVR41" s="228"/>
      <c r="GVS41" s="228"/>
      <c r="GVT41" s="228"/>
      <c r="GVU41" s="228"/>
      <c r="GVV41" s="228"/>
      <c r="GVW41" s="226"/>
      <c r="GVX41" s="226"/>
      <c r="GVY41" s="224"/>
      <c r="GVZ41" s="225"/>
      <c r="GWA41" s="226"/>
      <c r="GWB41" s="227"/>
      <c r="GWC41" s="228"/>
      <c r="GWD41" s="228"/>
      <c r="GWE41" s="228"/>
      <c r="GWF41" s="228"/>
      <c r="GWG41" s="228"/>
      <c r="GWH41" s="228"/>
      <c r="GWI41" s="226"/>
      <c r="GWJ41" s="226"/>
      <c r="GWK41" s="224"/>
      <c r="GWL41" s="225"/>
      <c r="GWM41" s="226"/>
      <c r="GWN41" s="227"/>
      <c r="GWO41" s="228"/>
      <c r="GWP41" s="228"/>
      <c r="GWQ41" s="228"/>
      <c r="GWR41" s="228"/>
      <c r="GWS41" s="228"/>
      <c r="GWT41" s="228"/>
      <c r="GWU41" s="226"/>
      <c r="GWV41" s="226"/>
      <c r="GWW41" s="224"/>
      <c r="GWX41" s="225"/>
      <c r="GWY41" s="226"/>
      <c r="GWZ41" s="227"/>
      <c r="GXA41" s="228"/>
      <c r="GXB41" s="228"/>
      <c r="GXC41" s="228"/>
      <c r="GXD41" s="228"/>
      <c r="GXE41" s="228"/>
      <c r="GXF41" s="228"/>
      <c r="GXG41" s="226"/>
      <c r="GXH41" s="226"/>
      <c r="GXI41" s="224"/>
      <c r="GXJ41" s="225"/>
      <c r="GXK41" s="226"/>
      <c r="GXL41" s="227"/>
      <c r="GXM41" s="228"/>
      <c r="GXN41" s="228"/>
      <c r="GXO41" s="228"/>
      <c r="GXP41" s="228"/>
      <c r="GXQ41" s="228"/>
      <c r="GXR41" s="228"/>
      <c r="GXS41" s="226"/>
      <c r="GXT41" s="226"/>
      <c r="GXU41" s="224"/>
      <c r="GXV41" s="225"/>
      <c r="GXW41" s="226"/>
      <c r="GXX41" s="227"/>
      <c r="GXY41" s="228"/>
      <c r="GXZ41" s="228"/>
      <c r="GYA41" s="228"/>
      <c r="GYB41" s="228"/>
      <c r="GYC41" s="228"/>
      <c r="GYD41" s="228"/>
      <c r="GYE41" s="226"/>
      <c r="GYF41" s="226"/>
      <c r="GYG41" s="224"/>
      <c r="GYH41" s="225"/>
      <c r="GYI41" s="226"/>
      <c r="GYJ41" s="227"/>
      <c r="GYK41" s="228"/>
      <c r="GYL41" s="228"/>
      <c r="GYM41" s="228"/>
      <c r="GYN41" s="228"/>
      <c r="GYO41" s="228"/>
      <c r="GYP41" s="228"/>
      <c r="GYQ41" s="226"/>
      <c r="GYR41" s="226"/>
      <c r="GYS41" s="224"/>
      <c r="GYT41" s="225"/>
      <c r="GYU41" s="226"/>
      <c r="GYV41" s="227"/>
      <c r="GYW41" s="228"/>
      <c r="GYX41" s="228"/>
      <c r="GYY41" s="228"/>
      <c r="GYZ41" s="228"/>
      <c r="GZA41" s="228"/>
      <c r="GZB41" s="228"/>
      <c r="GZC41" s="226"/>
      <c r="GZD41" s="226"/>
      <c r="GZE41" s="224"/>
      <c r="GZF41" s="225"/>
      <c r="GZG41" s="226"/>
      <c r="GZH41" s="227"/>
      <c r="GZI41" s="228"/>
      <c r="GZJ41" s="228"/>
      <c r="GZK41" s="228"/>
      <c r="GZL41" s="228"/>
      <c r="GZM41" s="228"/>
      <c r="GZN41" s="228"/>
      <c r="GZO41" s="226"/>
      <c r="GZP41" s="226"/>
      <c r="GZQ41" s="224"/>
      <c r="GZR41" s="225"/>
      <c r="GZS41" s="226"/>
      <c r="GZT41" s="227"/>
      <c r="GZU41" s="228"/>
      <c r="GZV41" s="228"/>
      <c r="GZW41" s="228"/>
      <c r="GZX41" s="228"/>
      <c r="GZY41" s="228"/>
      <c r="GZZ41" s="228"/>
      <c r="HAA41" s="226"/>
      <c r="HAB41" s="226"/>
      <c r="HAC41" s="224"/>
      <c r="HAD41" s="225"/>
      <c r="HAE41" s="226"/>
      <c r="HAF41" s="227"/>
      <c r="HAG41" s="228"/>
      <c r="HAH41" s="228"/>
      <c r="HAI41" s="228"/>
      <c r="HAJ41" s="228"/>
      <c r="HAK41" s="228"/>
      <c r="HAL41" s="228"/>
      <c r="HAM41" s="226"/>
      <c r="HAN41" s="226"/>
      <c r="HAO41" s="224"/>
      <c r="HAP41" s="225"/>
      <c r="HAQ41" s="226"/>
      <c r="HAR41" s="227"/>
      <c r="HAS41" s="228"/>
      <c r="HAT41" s="228"/>
      <c r="HAU41" s="228"/>
      <c r="HAV41" s="228"/>
      <c r="HAW41" s="228"/>
      <c r="HAX41" s="228"/>
      <c r="HAY41" s="226"/>
      <c r="HAZ41" s="226"/>
      <c r="HBA41" s="224"/>
      <c r="HBB41" s="225"/>
      <c r="HBC41" s="226"/>
      <c r="HBD41" s="227"/>
      <c r="HBE41" s="228"/>
      <c r="HBF41" s="228"/>
      <c r="HBG41" s="228"/>
      <c r="HBH41" s="228"/>
      <c r="HBI41" s="228"/>
      <c r="HBJ41" s="228"/>
      <c r="HBK41" s="226"/>
      <c r="HBL41" s="226"/>
      <c r="HBM41" s="224"/>
      <c r="HBN41" s="225"/>
      <c r="HBO41" s="226"/>
      <c r="HBP41" s="227"/>
      <c r="HBQ41" s="228"/>
      <c r="HBR41" s="228"/>
      <c r="HBS41" s="228"/>
      <c r="HBT41" s="228"/>
      <c r="HBU41" s="228"/>
      <c r="HBV41" s="228"/>
      <c r="HBW41" s="226"/>
      <c r="HBX41" s="226"/>
      <c r="HBY41" s="224"/>
      <c r="HBZ41" s="225"/>
      <c r="HCA41" s="226"/>
      <c r="HCB41" s="227"/>
      <c r="HCC41" s="228"/>
      <c r="HCD41" s="228"/>
      <c r="HCE41" s="228"/>
      <c r="HCF41" s="228"/>
      <c r="HCG41" s="228"/>
      <c r="HCH41" s="228"/>
      <c r="HCI41" s="226"/>
      <c r="HCJ41" s="226"/>
      <c r="HCK41" s="224"/>
      <c r="HCL41" s="225"/>
      <c r="HCM41" s="226"/>
      <c r="HCN41" s="227"/>
      <c r="HCO41" s="228"/>
      <c r="HCP41" s="228"/>
      <c r="HCQ41" s="228"/>
      <c r="HCR41" s="228"/>
      <c r="HCS41" s="228"/>
      <c r="HCT41" s="228"/>
      <c r="HCU41" s="226"/>
      <c r="HCV41" s="226"/>
      <c r="HCW41" s="224"/>
      <c r="HCX41" s="225"/>
      <c r="HCY41" s="226"/>
      <c r="HCZ41" s="227"/>
      <c r="HDA41" s="228"/>
      <c r="HDB41" s="228"/>
      <c r="HDC41" s="228"/>
      <c r="HDD41" s="228"/>
      <c r="HDE41" s="228"/>
      <c r="HDF41" s="228"/>
      <c r="HDG41" s="226"/>
      <c r="HDH41" s="226"/>
      <c r="HDI41" s="224"/>
      <c r="HDJ41" s="225"/>
      <c r="HDK41" s="226"/>
      <c r="HDL41" s="227"/>
      <c r="HDM41" s="228"/>
      <c r="HDN41" s="228"/>
      <c r="HDO41" s="228"/>
      <c r="HDP41" s="228"/>
      <c r="HDQ41" s="228"/>
      <c r="HDR41" s="228"/>
      <c r="HDS41" s="226"/>
      <c r="HDT41" s="226"/>
      <c r="HDU41" s="224"/>
      <c r="HDV41" s="225"/>
      <c r="HDW41" s="226"/>
      <c r="HDX41" s="227"/>
      <c r="HDY41" s="228"/>
      <c r="HDZ41" s="228"/>
      <c r="HEA41" s="228"/>
      <c r="HEB41" s="228"/>
      <c r="HEC41" s="228"/>
      <c r="HED41" s="228"/>
      <c r="HEE41" s="226"/>
      <c r="HEF41" s="226"/>
      <c r="HEG41" s="224"/>
      <c r="HEH41" s="225"/>
      <c r="HEI41" s="226"/>
      <c r="HEJ41" s="227"/>
      <c r="HEK41" s="228"/>
      <c r="HEL41" s="228"/>
      <c r="HEM41" s="228"/>
      <c r="HEN41" s="228"/>
      <c r="HEO41" s="228"/>
      <c r="HEP41" s="228"/>
      <c r="HEQ41" s="226"/>
      <c r="HER41" s="226"/>
      <c r="HES41" s="224"/>
      <c r="HET41" s="225"/>
      <c r="HEU41" s="226"/>
      <c r="HEV41" s="227"/>
      <c r="HEW41" s="228"/>
      <c r="HEX41" s="228"/>
      <c r="HEY41" s="228"/>
      <c r="HEZ41" s="228"/>
      <c r="HFA41" s="228"/>
      <c r="HFB41" s="228"/>
      <c r="HFC41" s="226"/>
      <c r="HFD41" s="226"/>
      <c r="HFE41" s="224"/>
      <c r="HFF41" s="225"/>
      <c r="HFG41" s="226"/>
      <c r="HFH41" s="227"/>
      <c r="HFI41" s="228"/>
      <c r="HFJ41" s="228"/>
      <c r="HFK41" s="228"/>
      <c r="HFL41" s="228"/>
      <c r="HFM41" s="228"/>
      <c r="HFN41" s="228"/>
      <c r="HFO41" s="226"/>
      <c r="HFP41" s="226"/>
      <c r="HFQ41" s="224"/>
      <c r="HFR41" s="225"/>
      <c r="HFS41" s="226"/>
      <c r="HFT41" s="227"/>
      <c r="HFU41" s="228"/>
      <c r="HFV41" s="228"/>
      <c r="HFW41" s="228"/>
      <c r="HFX41" s="228"/>
      <c r="HFY41" s="228"/>
      <c r="HFZ41" s="228"/>
      <c r="HGA41" s="226"/>
      <c r="HGB41" s="226"/>
      <c r="HGC41" s="224"/>
      <c r="HGD41" s="225"/>
      <c r="HGE41" s="226"/>
      <c r="HGF41" s="227"/>
      <c r="HGG41" s="228"/>
      <c r="HGH41" s="228"/>
      <c r="HGI41" s="228"/>
      <c r="HGJ41" s="228"/>
      <c r="HGK41" s="228"/>
      <c r="HGL41" s="228"/>
      <c r="HGM41" s="226"/>
      <c r="HGN41" s="226"/>
      <c r="HGO41" s="224"/>
      <c r="HGP41" s="225"/>
      <c r="HGQ41" s="226"/>
      <c r="HGR41" s="227"/>
      <c r="HGS41" s="228"/>
      <c r="HGT41" s="228"/>
      <c r="HGU41" s="228"/>
      <c r="HGV41" s="228"/>
      <c r="HGW41" s="228"/>
      <c r="HGX41" s="228"/>
      <c r="HGY41" s="226"/>
      <c r="HGZ41" s="226"/>
      <c r="HHA41" s="224"/>
      <c r="HHB41" s="225"/>
      <c r="HHC41" s="226"/>
      <c r="HHD41" s="227"/>
      <c r="HHE41" s="228"/>
      <c r="HHF41" s="228"/>
      <c r="HHG41" s="228"/>
      <c r="HHH41" s="228"/>
      <c r="HHI41" s="228"/>
      <c r="HHJ41" s="228"/>
      <c r="HHK41" s="226"/>
      <c r="HHL41" s="226"/>
      <c r="HHM41" s="224"/>
      <c r="HHN41" s="225"/>
      <c r="HHO41" s="226"/>
      <c r="HHP41" s="227"/>
      <c r="HHQ41" s="228"/>
      <c r="HHR41" s="228"/>
      <c r="HHS41" s="228"/>
      <c r="HHT41" s="228"/>
      <c r="HHU41" s="228"/>
      <c r="HHV41" s="228"/>
      <c r="HHW41" s="226"/>
      <c r="HHX41" s="226"/>
      <c r="HHY41" s="224"/>
      <c r="HHZ41" s="225"/>
      <c r="HIA41" s="226"/>
      <c r="HIB41" s="227"/>
      <c r="HIC41" s="228"/>
      <c r="HID41" s="228"/>
      <c r="HIE41" s="228"/>
      <c r="HIF41" s="228"/>
      <c r="HIG41" s="228"/>
      <c r="HIH41" s="228"/>
      <c r="HII41" s="226"/>
      <c r="HIJ41" s="226"/>
      <c r="HIK41" s="224"/>
      <c r="HIL41" s="225"/>
      <c r="HIM41" s="226"/>
      <c r="HIN41" s="227"/>
      <c r="HIO41" s="228"/>
      <c r="HIP41" s="228"/>
      <c r="HIQ41" s="228"/>
      <c r="HIR41" s="228"/>
      <c r="HIS41" s="228"/>
      <c r="HIT41" s="228"/>
      <c r="HIU41" s="226"/>
      <c r="HIV41" s="226"/>
      <c r="HIW41" s="224"/>
      <c r="HIX41" s="225"/>
      <c r="HIY41" s="226"/>
      <c r="HIZ41" s="227"/>
      <c r="HJA41" s="228"/>
      <c r="HJB41" s="228"/>
      <c r="HJC41" s="228"/>
      <c r="HJD41" s="228"/>
      <c r="HJE41" s="228"/>
      <c r="HJF41" s="228"/>
      <c r="HJG41" s="226"/>
      <c r="HJH41" s="226"/>
      <c r="HJI41" s="224"/>
      <c r="HJJ41" s="225"/>
      <c r="HJK41" s="226"/>
      <c r="HJL41" s="227"/>
      <c r="HJM41" s="228"/>
      <c r="HJN41" s="228"/>
      <c r="HJO41" s="228"/>
      <c r="HJP41" s="228"/>
      <c r="HJQ41" s="228"/>
      <c r="HJR41" s="228"/>
      <c r="HJS41" s="226"/>
      <c r="HJT41" s="226"/>
      <c r="HJU41" s="224"/>
      <c r="HJV41" s="225"/>
      <c r="HJW41" s="226"/>
      <c r="HJX41" s="227"/>
      <c r="HJY41" s="228"/>
      <c r="HJZ41" s="228"/>
      <c r="HKA41" s="228"/>
      <c r="HKB41" s="228"/>
      <c r="HKC41" s="228"/>
      <c r="HKD41" s="228"/>
      <c r="HKE41" s="226"/>
      <c r="HKF41" s="226"/>
      <c r="HKG41" s="224"/>
      <c r="HKH41" s="225"/>
      <c r="HKI41" s="226"/>
      <c r="HKJ41" s="227"/>
      <c r="HKK41" s="228"/>
      <c r="HKL41" s="228"/>
      <c r="HKM41" s="228"/>
      <c r="HKN41" s="228"/>
      <c r="HKO41" s="228"/>
      <c r="HKP41" s="228"/>
      <c r="HKQ41" s="226"/>
      <c r="HKR41" s="226"/>
      <c r="HKS41" s="224"/>
      <c r="HKT41" s="225"/>
      <c r="HKU41" s="226"/>
      <c r="HKV41" s="227"/>
      <c r="HKW41" s="228"/>
      <c r="HKX41" s="228"/>
      <c r="HKY41" s="228"/>
      <c r="HKZ41" s="228"/>
      <c r="HLA41" s="228"/>
      <c r="HLB41" s="228"/>
      <c r="HLC41" s="226"/>
      <c r="HLD41" s="226"/>
      <c r="HLE41" s="224"/>
      <c r="HLF41" s="225"/>
      <c r="HLG41" s="226"/>
      <c r="HLH41" s="227"/>
      <c r="HLI41" s="228"/>
      <c r="HLJ41" s="228"/>
      <c r="HLK41" s="228"/>
      <c r="HLL41" s="228"/>
      <c r="HLM41" s="228"/>
      <c r="HLN41" s="228"/>
      <c r="HLO41" s="226"/>
      <c r="HLP41" s="226"/>
      <c r="HLQ41" s="224"/>
      <c r="HLR41" s="225"/>
      <c r="HLS41" s="226"/>
      <c r="HLT41" s="227"/>
      <c r="HLU41" s="228"/>
      <c r="HLV41" s="228"/>
      <c r="HLW41" s="228"/>
      <c r="HLX41" s="228"/>
      <c r="HLY41" s="228"/>
      <c r="HLZ41" s="228"/>
      <c r="HMA41" s="226"/>
      <c r="HMB41" s="226"/>
      <c r="HMC41" s="224"/>
      <c r="HMD41" s="225"/>
      <c r="HME41" s="226"/>
      <c r="HMF41" s="227"/>
      <c r="HMG41" s="228"/>
      <c r="HMH41" s="228"/>
      <c r="HMI41" s="228"/>
      <c r="HMJ41" s="228"/>
      <c r="HMK41" s="228"/>
      <c r="HML41" s="228"/>
      <c r="HMM41" s="226"/>
      <c r="HMN41" s="226"/>
      <c r="HMO41" s="224"/>
      <c r="HMP41" s="225"/>
      <c r="HMQ41" s="226"/>
      <c r="HMR41" s="227"/>
      <c r="HMS41" s="228"/>
      <c r="HMT41" s="228"/>
      <c r="HMU41" s="228"/>
      <c r="HMV41" s="228"/>
      <c r="HMW41" s="228"/>
      <c r="HMX41" s="228"/>
      <c r="HMY41" s="226"/>
      <c r="HMZ41" s="226"/>
      <c r="HNA41" s="224"/>
      <c r="HNB41" s="225"/>
      <c r="HNC41" s="226"/>
      <c r="HND41" s="227"/>
      <c r="HNE41" s="228"/>
      <c r="HNF41" s="228"/>
      <c r="HNG41" s="228"/>
      <c r="HNH41" s="228"/>
      <c r="HNI41" s="228"/>
      <c r="HNJ41" s="228"/>
      <c r="HNK41" s="226"/>
      <c r="HNL41" s="226"/>
      <c r="HNM41" s="224"/>
      <c r="HNN41" s="225"/>
      <c r="HNO41" s="226"/>
      <c r="HNP41" s="227"/>
      <c r="HNQ41" s="228"/>
      <c r="HNR41" s="228"/>
      <c r="HNS41" s="228"/>
      <c r="HNT41" s="228"/>
      <c r="HNU41" s="228"/>
      <c r="HNV41" s="228"/>
      <c r="HNW41" s="226"/>
      <c r="HNX41" s="226"/>
      <c r="HNY41" s="224"/>
      <c r="HNZ41" s="225"/>
      <c r="HOA41" s="226"/>
      <c r="HOB41" s="227"/>
      <c r="HOC41" s="228"/>
      <c r="HOD41" s="228"/>
      <c r="HOE41" s="228"/>
      <c r="HOF41" s="228"/>
      <c r="HOG41" s="228"/>
      <c r="HOH41" s="228"/>
      <c r="HOI41" s="226"/>
      <c r="HOJ41" s="226"/>
      <c r="HOK41" s="224"/>
      <c r="HOL41" s="225"/>
      <c r="HOM41" s="226"/>
      <c r="HON41" s="227"/>
      <c r="HOO41" s="228"/>
      <c r="HOP41" s="228"/>
      <c r="HOQ41" s="228"/>
      <c r="HOR41" s="228"/>
      <c r="HOS41" s="228"/>
      <c r="HOT41" s="228"/>
      <c r="HOU41" s="226"/>
      <c r="HOV41" s="226"/>
      <c r="HOW41" s="224"/>
      <c r="HOX41" s="225"/>
      <c r="HOY41" s="226"/>
      <c r="HOZ41" s="227"/>
      <c r="HPA41" s="228"/>
      <c r="HPB41" s="228"/>
      <c r="HPC41" s="228"/>
      <c r="HPD41" s="228"/>
      <c r="HPE41" s="228"/>
      <c r="HPF41" s="228"/>
      <c r="HPG41" s="226"/>
      <c r="HPH41" s="226"/>
      <c r="HPI41" s="224"/>
      <c r="HPJ41" s="225"/>
      <c r="HPK41" s="226"/>
      <c r="HPL41" s="227"/>
      <c r="HPM41" s="228"/>
      <c r="HPN41" s="228"/>
      <c r="HPO41" s="228"/>
      <c r="HPP41" s="228"/>
      <c r="HPQ41" s="228"/>
      <c r="HPR41" s="228"/>
      <c r="HPS41" s="226"/>
      <c r="HPT41" s="226"/>
      <c r="HPU41" s="224"/>
      <c r="HPV41" s="225"/>
      <c r="HPW41" s="226"/>
      <c r="HPX41" s="227"/>
      <c r="HPY41" s="228"/>
      <c r="HPZ41" s="228"/>
      <c r="HQA41" s="228"/>
      <c r="HQB41" s="228"/>
      <c r="HQC41" s="228"/>
      <c r="HQD41" s="228"/>
      <c r="HQE41" s="226"/>
      <c r="HQF41" s="226"/>
      <c r="HQG41" s="224"/>
      <c r="HQH41" s="225"/>
      <c r="HQI41" s="226"/>
      <c r="HQJ41" s="227"/>
      <c r="HQK41" s="228"/>
      <c r="HQL41" s="228"/>
      <c r="HQM41" s="228"/>
      <c r="HQN41" s="228"/>
      <c r="HQO41" s="228"/>
      <c r="HQP41" s="228"/>
      <c r="HQQ41" s="226"/>
      <c r="HQR41" s="226"/>
      <c r="HQS41" s="224"/>
      <c r="HQT41" s="225"/>
      <c r="HQU41" s="226"/>
      <c r="HQV41" s="227"/>
      <c r="HQW41" s="228"/>
      <c r="HQX41" s="228"/>
      <c r="HQY41" s="228"/>
      <c r="HQZ41" s="228"/>
      <c r="HRA41" s="228"/>
      <c r="HRB41" s="228"/>
      <c r="HRC41" s="226"/>
      <c r="HRD41" s="226"/>
      <c r="HRE41" s="224"/>
      <c r="HRF41" s="225"/>
      <c r="HRG41" s="226"/>
      <c r="HRH41" s="227"/>
      <c r="HRI41" s="228"/>
      <c r="HRJ41" s="228"/>
      <c r="HRK41" s="228"/>
      <c r="HRL41" s="228"/>
      <c r="HRM41" s="228"/>
      <c r="HRN41" s="228"/>
      <c r="HRO41" s="226"/>
      <c r="HRP41" s="226"/>
      <c r="HRQ41" s="224"/>
      <c r="HRR41" s="225"/>
      <c r="HRS41" s="226"/>
      <c r="HRT41" s="227"/>
      <c r="HRU41" s="228"/>
      <c r="HRV41" s="228"/>
      <c r="HRW41" s="228"/>
      <c r="HRX41" s="228"/>
      <c r="HRY41" s="228"/>
      <c r="HRZ41" s="228"/>
      <c r="HSA41" s="226"/>
      <c r="HSB41" s="226"/>
      <c r="HSC41" s="224"/>
      <c r="HSD41" s="225"/>
      <c r="HSE41" s="226"/>
      <c r="HSF41" s="227"/>
      <c r="HSG41" s="228"/>
      <c r="HSH41" s="228"/>
      <c r="HSI41" s="228"/>
      <c r="HSJ41" s="228"/>
      <c r="HSK41" s="228"/>
      <c r="HSL41" s="228"/>
      <c r="HSM41" s="226"/>
      <c r="HSN41" s="226"/>
      <c r="HSO41" s="224"/>
      <c r="HSP41" s="225"/>
      <c r="HSQ41" s="226"/>
      <c r="HSR41" s="227"/>
      <c r="HSS41" s="228"/>
      <c r="HST41" s="228"/>
      <c r="HSU41" s="228"/>
      <c r="HSV41" s="228"/>
      <c r="HSW41" s="228"/>
      <c r="HSX41" s="228"/>
      <c r="HSY41" s="226"/>
      <c r="HSZ41" s="226"/>
      <c r="HTA41" s="224"/>
      <c r="HTB41" s="225"/>
      <c r="HTC41" s="226"/>
      <c r="HTD41" s="227"/>
      <c r="HTE41" s="228"/>
      <c r="HTF41" s="228"/>
      <c r="HTG41" s="228"/>
      <c r="HTH41" s="228"/>
      <c r="HTI41" s="228"/>
      <c r="HTJ41" s="228"/>
      <c r="HTK41" s="226"/>
      <c r="HTL41" s="226"/>
      <c r="HTM41" s="224"/>
      <c r="HTN41" s="225"/>
      <c r="HTO41" s="226"/>
      <c r="HTP41" s="227"/>
      <c r="HTQ41" s="228"/>
      <c r="HTR41" s="228"/>
      <c r="HTS41" s="228"/>
      <c r="HTT41" s="228"/>
      <c r="HTU41" s="228"/>
      <c r="HTV41" s="228"/>
      <c r="HTW41" s="226"/>
      <c r="HTX41" s="226"/>
      <c r="HTY41" s="224"/>
      <c r="HTZ41" s="225"/>
      <c r="HUA41" s="226"/>
      <c r="HUB41" s="227"/>
      <c r="HUC41" s="228"/>
      <c r="HUD41" s="228"/>
      <c r="HUE41" s="228"/>
      <c r="HUF41" s="228"/>
      <c r="HUG41" s="228"/>
      <c r="HUH41" s="228"/>
      <c r="HUI41" s="226"/>
      <c r="HUJ41" s="226"/>
      <c r="HUK41" s="224"/>
      <c r="HUL41" s="225"/>
      <c r="HUM41" s="226"/>
      <c r="HUN41" s="227"/>
      <c r="HUO41" s="228"/>
      <c r="HUP41" s="228"/>
      <c r="HUQ41" s="228"/>
      <c r="HUR41" s="228"/>
      <c r="HUS41" s="228"/>
      <c r="HUT41" s="228"/>
      <c r="HUU41" s="226"/>
      <c r="HUV41" s="226"/>
      <c r="HUW41" s="224"/>
      <c r="HUX41" s="225"/>
      <c r="HUY41" s="226"/>
      <c r="HUZ41" s="227"/>
      <c r="HVA41" s="228"/>
      <c r="HVB41" s="228"/>
      <c r="HVC41" s="228"/>
      <c r="HVD41" s="228"/>
      <c r="HVE41" s="228"/>
      <c r="HVF41" s="228"/>
      <c r="HVG41" s="226"/>
      <c r="HVH41" s="226"/>
      <c r="HVI41" s="224"/>
      <c r="HVJ41" s="225"/>
      <c r="HVK41" s="226"/>
      <c r="HVL41" s="227"/>
      <c r="HVM41" s="228"/>
      <c r="HVN41" s="228"/>
      <c r="HVO41" s="228"/>
      <c r="HVP41" s="228"/>
      <c r="HVQ41" s="228"/>
      <c r="HVR41" s="228"/>
      <c r="HVS41" s="226"/>
      <c r="HVT41" s="226"/>
      <c r="HVU41" s="224"/>
      <c r="HVV41" s="225"/>
      <c r="HVW41" s="226"/>
      <c r="HVX41" s="227"/>
      <c r="HVY41" s="228"/>
      <c r="HVZ41" s="228"/>
      <c r="HWA41" s="228"/>
      <c r="HWB41" s="228"/>
      <c r="HWC41" s="228"/>
      <c r="HWD41" s="228"/>
      <c r="HWE41" s="226"/>
      <c r="HWF41" s="226"/>
      <c r="HWG41" s="224"/>
      <c r="HWH41" s="225"/>
      <c r="HWI41" s="226"/>
      <c r="HWJ41" s="227"/>
      <c r="HWK41" s="228"/>
      <c r="HWL41" s="228"/>
      <c r="HWM41" s="228"/>
      <c r="HWN41" s="228"/>
      <c r="HWO41" s="228"/>
      <c r="HWP41" s="228"/>
      <c r="HWQ41" s="226"/>
      <c r="HWR41" s="226"/>
      <c r="HWS41" s="224"/>
      <c r="HWT41" s="225"/>
      <c r="HWU41" s="226"/>
      <c r="HWV41" s="227"/>
      <c r="HWW41" s="228"/>
      <c r="HWX41" s="228"/>
      <c r="HWY41" s="228"/>
      <c r="HWZ41" s="228"/>
      <c r="HXA41" s="228"/>
      <c r="HXB41" s="228"/>
      <c r="HXC41" s="226"/>
      <c r="HXD41" s="226"/>
      <c r="HXE41" s="224"/>
      <c r="HXF41" s="225"/>
      <c r="HXG41" s="226"/>
      <c r="HXH41" s="227"/>
      <c r="HXI41" s="228"/>
      <c r="HXJ41" s="228"/>
      <c r="HXK41" s="228"/>
      <c r="HXL41" s="228"/>
      <c r="HXM41" s="228"/>
      <c r="HXN41" s="228"/>
      <c r="HXO41" s="226"/>
      <c r="HXP41" s="226"/>
      <c r="HXQ41" s="224"/>
      <c r="HXR41" s="225"/>
      <c r="HXS41" s="226"/>
      <c r="HXT41" s="227"/>
      <c r="HXU41" s="228"/>
      <c r="HXV41" s="228"/>
      <c r="HXW41" s="228"/>
      <c r="HXX41" s="228"/>
      <c r="HXY41" s="228"/>
      <c r="HXZ41" s="228"/>
      <c r="HYA41" s="226"/>
      <c r="HYB41" s="226"/>
      <c r="HYC41" s="224"/>
      <c r="HYD41" s="225"/>
      <c r="HYE41" s="226"/>
      <c r="HYF41" s="227"/>
      <c r="HYG41" s="228"/>
      <c r="HYH41" s="228"/>
      <c r="HYI41" s="228"/>
      <c r="HYJ41" s="228"/>
      <c r="HYK41" s="228"/>
      <c r="HYL41" s="228"/>
      <c r="HYM41" s="226"/>
      <c r="HYN41" s="226"/>
      <c r="HYO41" s="224"/>
      <c r="HYP41" s="225"/>
      <c r="HYQ41" s="226"/>
      <c r="HYR41" s="227"/>
      <c r="HYS41" s="228"/>
      <c r="HYT41" s="228"/>
      <c r="HYU41" s="228"/>
      <c r="HYV41" s="228"/>
      <c r="HYW41" s="228"/>
      <c r="HYX41" s="228"/>
      <c r="HYY41" s="226"/>
      <c r="HYZ41" s="226"/>
      <c r="HZA41" s="224"/>
      <c r="HZB41" s="225"/>
      <c r="HZC41" s="226"/>
      <c r="HZD41" s="227"/>
      <c r="HZE41" s="228"/>
      <c r="HZF41" s="228"/>
      <c r="HZG41" s="228"/>
      <c r="HZH41" s="228"/>
      <c r="HZI41" s="228"/>
      <c r="HZJ41" s="228"/>
      <c r="HZK41" s="226"/>
      <c r="HZL41" s="226"/>
      <c r="HZM41" s="224"/>
      <c r="HZN41" s="225"/>
      <c r="HZO41" s="226"/>
      <c r="HZP41" s="227"/>
      <c r="HZQ41" s="228"/>
      <c r="HZR41" s="228"/>
      <c r="HZS41" s="228"/>
      <c r="HZT41" s="228"/>
      <c r="HZU41" s="228"/>
      <c r="HZV41" s="228"/>
      <c r="HZW41" s="226"/>
      <c r="HZX41" s="226"/>
      <c r="HZY41" s="224"/>
      <c r="HZZ41" s="225"/>
      <c r="IAA41" s="226"/>
      <c r="IAB41" s="227"/>
      <c r="IAC41" s="228"/>
      <c r="IAD41" s="228"/>
      <c r="IAE41" s="228"/>
      <c r="IAF41" s="228"/>
      <c r="IAG41" s="228"/>
      <c r="IAH41" s="228"/>
      <c r="IAI41" s="226"/>
      <c r="IAJ41" s="226"/>
      <c r="IAK41" s="224"/>
      <c r="IAL41" s="225"/>
      <c r="IAM41" s="226"/>
      <c r="IAN41" s="227"/>
      <c r="IAO41" s="228"/>
      <c r="IAP41" s="228"/>
      <c r="IAQ41" s="228"/>
      <c r="IAR41" s="228"/>
      <c r="IAS41" s="228"/>
      <c r="IAT41" s="228"/>
      <c r="IAU41" s="226"/>
      <c r="IAV41" s="226"/>
      <c r="IAW41" s="224"/>
      <c r="IAX41" s="225"/>
      <c r="IAY41" s="226"/>
      <c r="IAZ41" s="227"/>
      <c r="IBA41" s="228"/>
      <c r="IBB41" s="228"/>
      <c r="IBC41" s="228"/>
      <c r="IBD41" s="228"/>
      <c r="IBE41" s="228"/>
      <c r="IBF41" s="228"/>
      <c r="IBG41" s="226"/>
      <c r="IBH41" s="226"/>
      <c r="IBI41" s="224"/>
      <c r="IBJ41" s="225"/>
      <c r="IBK41" s="226"/>
      <c r="IBL41" s="227"/>
      <c r="IBM41" s="228"/>
      <c r="IBN41" s="228"/>
      <c r="IBO41" s="228"/>
      <c r="IBP41" s="228"/>
      <c r="IBQ41" s="228"/>
      <c r="IBR41" s="228"/>
      <c r="IBS41" s="226"/>
      <c r="IBT41" s="226"/>
      <c r="IBU41" s="224"/>
      <c r="IBV41" s="225"/>
      <c r="IBW41" s="226"/>
      <c r="IBX41" s="227"/>
      <c r="IBY41" s="228"/>
      <c r="IBZ41" s="228"/>
      <c r="ICA41" s="228"/>
      <c r="ICB41" s="228"/>
      <c r="ICC41" s="228"/>
      <c r="ICD41" s="228"/>
      <c r="ICE41" s="226"/>
      <c r="ICF41" s="226"/>
      <c r="ICG41" s="224"/>
      <c r="ICH41" s="225"/>
      <c r="ICI41" s="226"/>
      <c r="ICJ41" s="227"/>
      <c r="ICK41" s="228"/>
      <c r="ICL41" s="228"/>
      <c r="ICM41" s="228"/>
      <c r="ICN41" s="228"/>
      <c r="ICO41" s="228"/>
      <c r="ICP41" s="228"/>
      <c r="ICQ41" s="226"/>
      <c r="ICR41" s="226"/>
      <c r="ICS41" s="224"/>
      <c r="ICT41" s="225"/>
      <c r="ICU41" s="226"/>
      <c r="ICV41" s="227"/>
      <c r="ICW41" s="228"/>
      <c r="ICX41" s="228"/>
      <c r="ICY41" s="228"/>
      <c r="ICZ41" s="228"/>
      <c r="IDA41" s="228"/>
      <c r="IDB41" s="228"/>
      <c r="IDC41" s="226"/>
      <c r="IDD41" s="226"/>
      <c r="IDE41" s="224"/>
      <c r="IDF41" s="225"/>
      <c r="IDG41" s="226"/>
      <c r="IDH41" s="227"/>
      <c r="IDI41" s="228"/>
      <c r="IDJ41" s="228"/>
      <c r="IDK41" s="228"/>
      <c r="IDL41" s="228"/>
      <c r="IDM41" s="228"/>
      <c r="IDN41" s="228"/>
      <c r="IDO41" s="226"/>
      <c r="IDP41" s="226"/>
      <c r="IDQ41" s="224"/>
      <c r="IDR41" s="225"/>
      <c r="IDS41" s="226"/>
      <c r="IDT41" s="227"/>
      <c r="IDU41" s="228"/>
      <c r="IDV41" s="228"/>
      <c r="IDW41" s="228"/>
      <c r="IDX41" s="228"/>
      <c r="IDY41" s="228"/>
      <c r="IDZ41" s="228"/>
      <c r="IEA41" s="226"/>
      <c r="IEB41" s="226"/>
      <c r="IEC41" s="224"/>
      <c r="IED41" s="225"/>
      <c r="IEE41" s="226"/>
      <c r="IEF41" s="227"/>
      <c r="IEG41" s="228"/>
      <c r="IEH41" s="228"/>
      <c r="IEI41" s="228"/>
      <c r="IEJ41" s="228"/>
      <c r="IEK41" s="228"/>
      <c r="IEL41" s="228"/>
      <c r="IEM41" s="226"/>
      <c r="IEN41" s="226"/>
      <c r="IEO41" s="224"/>
      <c r="IEP41" s="225"/>
      <c r="IEQ41" s="226"/>
      <c r="IER41" s="227"/>
      <c r="IES41" s="228"/>
      <c r="IET41" s="228"/>
      <c r="IEU41" s="228"/>
      <c r="IEV41" s="228"/>
      <c r="IEW41" s="228"/>
      <c r="IEX41" s="228"/>
      <c r="IEY41" s="226"/>
      <c r="IEZ41" s="226"/>
      <c r="IFA41" s="224"/>
      <c r="IFB41" s="225"/>
      <c r="IFC41" s="226"/>
      <c r="IFD41" s="227"/>
      <c r="IFE41" s="228"/>
      <c r="IFF41" s="228"/>
      <c r="IFG41" s="228"/>
      <c r="IFH41" s="228"/>
      <c r="IFI41" s="228"/>
      <c r="IFJ41" s="228"/>
      <c r="IFK41" s="226"/>
      <c r="IFL41" s="226"/>
      <c r="IFM41" s="224"/>
      <c r="IFN41" s="225"/>
      <c r="IFO41" s="226"/>
      <c r="IFP41" s="227"/>
      <c r="IFQ41" s="228"/>
      <c r="IFR41" s="228"/>
      <c r="IFS41" s="228"/>
      <c r="IFT41" s="228"/>
      <c r="IFU41" s="228"/>
      <c r="IFV41" s="228"/>
      <c r="IFW41" s="226"/>
      <c r="IFX41" s="226"/>
      <c r="IFY41" s="224"/>
      <c r="IFZ41" s="225"/>
      <c r="IGA41" s="226"/>
      <c r="IGB41" s="227"/>
      <c r="IGC41" s="228"/>
      <c r="IGD41" s="228"/>
      <c r="IGE41" s="228"/>
      <c r="IGF41" s="228"/>
      <c r="IGG41" s="228"/>
      <c r="IGH41" s="228"/>
      <c r="IGI41" s="226"/>
      <c r="IGJ41" s="226"/>
      <c r="IGK41" s="224"/>
      <c r="IGL41" s="225"/>
      <c r="IGM41" s="226"/>
      <c r="IGN41" s="227"/>
      <c r="IGO41" s="228"/>
      <c r="IGP41" s="228"/>
      <c r="IGQ41" s="228"/>
      <c r="IGR41" s="228"/>
      <c r="IGS41" s="228"/>
      <c r="IGT41" s="228"/>
      <c r="IGU41" s="226"/>
      <c r="IGV41" s="226"/>
      <c r="IGW41" s="224"/>
      <c r="IGX41" s="225"/>
      <c r="IGY41" s="226"/>
      <c r="IGZ41" s="227"/>
      <c r="IHA41" s="228"/>
      <c r="IHB41" s="228"/>
      <c r="IHC41" s="228"/>
      <c r="IHD41" s="228"/>
      <c r="IHE41" s="228"/>
      <c r="IHF41" s="228"/>
      <c r="IHG41" s="226"/>
      <c r="IHH41" s="226"/>
      <c r="IHI41" s="224"/>
      <c r="IHJ41" s="225"/>
      <c r="IHK41" s="226"/>
      <c r="IHL41" s="227"/>
      <c r="IHM41" s="228"/>
      <c r="IHN41" s="228"/>
      <c r="IHO41" s="228"/>
      <c r="IHP41" s="228"/>
      <c r="IHQ41" s="228"/>
      <c r="IHR41" s="228"/>
      <c r="IHS41" s="226"/>
      <c r="IHT41" s="226"/>
      <c r="IHU41" s="224"/>
      <c r="IHV41" s="225"/>
      <c r="IHW41" s="226"/>
      <c r="IHX41" s="227"/>
      <c r="IHY41" s="228"/>
      <c r="IHZ41" s="228"/>
      <c r="IIA41" s="228"/>
      <c r="IIB41" s="228"/>
      <c r="IIC41" s="228"/>
      <c r="IID41" s="228"/>
      <c r="IIE41" s="226"/>
      <c r="IIF41" s="226"/>
      <c r="IIG41" s="224"/>
      <c r="IIH41" s="225"/>
      <c r="III41" s="226"/>
      <c r="IIJ41" s="227"/>
      <c r="IIK41" s="228"/>
      <c r="IIL41" s="228"/>
      <c r="IIM41" s="228"/>
      <c r="IIN41" s="228"/>
      <c r="IIO41" s="228"/>
      <c r="IIP41" s="228"/>
      <c r="IIQ41" s="226"/>
      <c r="IIR41" s="226"/>
      <c r="IIS41" s="224"/>
      <c r="IIT41" s="225"/>
      <c r="IIU41" s="226"/>
      <c r="IIV41" s="227"/>
      <c r="IIW41" s="228"/>
      <c r="IIX41" s="228"/>
      <c r="IIY41" s="228"/>
      <c r="IIZ41" s="228"/>
      <c r="IJA41" s="228"/>
      <c r="IJB41" s="228"/>
      <c r="IJC41" s="226"/>
      <c r="IJD41" s="226"/>
      <c r="IJE41" s="224"/>
      <c r="IJF41" s="225"/>
      <c r="IJG41" s="226"/>
      <c r="IJH41" s="227"/>
      <c r="IJI41" s="228"/>
      <c r="IJJ41" s="228"/>
      <c r="IJK41" s="228"/>
      <c r="IJL41" s="228"/>
      <c r="IJM41" s="228"/>
      <c r="IJN41" s="228"/>
      <c r="IJO41" s="226"/>
      <c r="IJP41" s="226"/>
      <c r="IJQ41" s="224"/>
      <c r="IJR41" s="225"/>
      <c r="IJS41" s="226"/>
      <c r="IJT41" s="227"/>
      <c r="IJU41" s="228"/>
      <c r="IJV41" s="228"/>
      <c r="IJW41" s="228"/>
      <c r="IJX41" s="228"/>
      <c r="IJY41" s="228"/>
      <c r="IJZ41" s="228"/>
      <c r="IKA41" s="226"/>
      <c r="IKB41" s="226"/>
      <c r="IKC41" s="224"/>
      <c r="IKD41" s="225"/>
      <c r="IKE41" s="226"/>
      <c r="IKF41" s="227"/>
      <c r="IKG41" s="228"/>
      <c r="IKH41" s="228"/>
      <c r="IKI41" s="228"/>
      <c r="IKJ41" s="228"/>
      <c r="IKK41" s="228"/>
      <c r="IKL41" s="228"/>
      <c r="IKM41" s="226"/>
      <c r="IKN41" s="226"/>
      <c r="IKO41" s="224"/>
      <c r="IKP41" s="225"/>
      <c r="IKQ41" s="226"/>
      <c r="IKR41" s="227"/>
      <c r="IKS41" s="228"/>
      <c r="IKT41" s="228"/>
      <c r="IKU41" s="228"/>
      <c r="IKV41" s="228"/>
      <c r="IKW41" s="228"/>
      <c r="IKX41" s="228"/>
      <c r="IKY41" s="226"/>
      <c r="IKZ41" s="226"/>
      <c r="ILA41" s="224"/>
      <c r="ILB41" s="225"/>
      <c r="ILC41" s="226"/>
      <c r="ILD41" s="227"/>
      <c r="ILE41" s="228"/>
      <c r="ILF41" s="228"/>
      <c r="ILG41" s="228"/>
      <c r="ILH41" s="228"/>
      <c r="ILI41" s="228"/>
      <c r="ILJ41" s="228"/>
      <c r="ILK41" s="226"/>
      <c r="ILL41" s="226"/>
      <c r="ILM41" s="224"/>
      <c r="ILN41" s="225"/>
      <c r="ILO41" s="226"/>
      <c r="ILP41" s="227"/>
      <c r="ILQ41" s="228"/>
      <c r="ILR41" s="228"/>
      <c r="ILS41" s="228"/>
      <c r="ILT41" s="228"/>
      <c r="ILU41" s="228"/>
      <c r="ILV41" s="228"/>
      <c r="ILW41" s="226"/>
      <c r="ILX41" s="226"/>
      <c r="ILY41" s="224"/>
      <c r="ILZ41" s="225"/>
      <c r="IMA41" s="226"/>
      <c r="IMB41" s="227"/>
      <c r="IMC41" s="228"/>
      <c r="IMD41" s="228"/>
      <c r="IME41" s="228"/>
      <c r="IMF41" s="228"/>
      <c r="IMG41" s="228"/>
      <c r="IMH41" s="228"/>
      <c r="IMI41" s="226"/>
      <c r="IMJ41" s="226"/>
      <c r="IMK41" s="224"/>
      <c r="IML41" s="225"/>
      <c r="IMM41" s="226"/>
      <c r="IMN41" s="227"/>
      <c r="IMO41" s="228"/>
      <c r="IMP41" s="228"/>
      <c r="IMQ41" s="228"/>
      <c r="IMR41" s="228"/>
      <c r="IMS41" s="228"/>
      <c r="IMT41" s="228"/>
      <c r="IMU41" s="226"/>
      <c r="IMV41" s="226"/>
      <c r="IMW41" s="224"/>
      <c r="IMX41" s="225"/>
      <c r="IMY41" s="226"/>
      <c r="IMZ41" s="227"/>
      <c r="INA41" s="228"/>
      <c r="INB41" s="228"/>
      <c r="INC41" s="228"/>
      <c r="IND41" s="228"/>
      <c r="INE41" s="228"/>
      <c r="INF41" s="228"/>
      <c r="ING41" s="226"/>
      <c r="INH41" s="226"/>
      <c r="INI41" s="224"/>
      <c r="INJ41" s="225"/>
      <c r="INK41" s="226"/>
      <c r="INL41" s="227"/>
      <c r="INM41" s="228"/>
      <c r="INN41" s="228"/>
      <c r="INO41" s="228"/>
      <c r="INP41" s="228"/>
      <c r="INQ41" s="228"/>
      <c r="INR41" s="228"/>
      <c r="INS41" s="226"/>
      <c r="INT41" s="226"/>
      <c r="INU41" s="224"/>
      <c r="INV41" s="225"/>
      <c r="INW41" s="226"/>
      <c r="INX41" s="227"/>
      <c r="INY41" s="228"/>
      <c r="INZ41" s="228"/>
      <c r="IOA41" s="228"/>
      <c r="IOB41" s="228"/>
      <c r="IOC41" s="228"/>
      <c r="IOD41" s="228"/>
      <c r="IOE41" s="226"/>
      <c r="IOF41" s="226"/>
      <c r="IOG41" s="224"/>
      <c r="IOH41" s="225"/>
      <c r="IOI41" s="226"/>
      <c r="IOJ41" s="227"/>
      <c r="IOK41" s="228"/>
      <c r="IOL41" s="228"/>
      <c r="IOM41" s="228"/>
      <c r="ION41" s="228"/>
      <c r="IOO41" s="228"/>
      <c r="IOP41" s="228"/>
      <c r="IOQ41" s="226"/>
      <c r="IOR41" s="226"/>
      <c r="IOS41" s="224"/>
      <c r="IOT41" s="225"/>
      <c r="IOU41" s="226"/>
      <c r="IOV41" s="227"/>
      <c r="IOW41" s="228"/>
      <c r="IOX41" s="228"/>
      <c r="IOY41" s="228"/>
      <c r="IOZ41" s="228"/>
      <c r="IPA41" s="228"/>
      <c r="IPB41" s="228"/>
      <c r="IPC41" s="226"/>
      <c r="IPD41" s="226"/>
      <c r="IPE41" s="224"/>
      <c r="IPF41" s="225"/>
      <c r="IPG41" s="226"/>
      <c r="IPH41" s="227"/>
      <c r="IPI41" s="228"/>
      <c r="IPJ41" s="228"/>
      <c r="IPK41" s="228"/>
      <c r="IPL41" s="228"/>
      <c r="IPM41" s="228"/>
      <c r="IPN41" s="228"/>
      <c r="IPO41" s="226"/>
      <c r="IPP41" s="226"/>
      <c r="IPQ41" s="224"/>
      <c r="IPR41" s="225"/>
      <c r="IPS41" s="226"/>
      <c r="IPT41" s="227"/>
      <c r="IPU41" s="228"/>
      <c r="IPV41" s="228"/>
      <c r="IPW41" s="228"/>
      <c r="IPX41" s="228"/>
      <c r="IPY41" s="228"/>
      <c r="IPZ41" s="228"/>
      <c r="IQA41" s="226"/>
      <c r="IQB41" s="226"/>
      <c r="IQC41" s="224"/>
      <c r="IQD41" s="225"/>
      <c r="IQE41" s="226"/>
      <c r="IQF41" s="227"/>
      <c r="IQG41" s="228"/>
      <c r="IQH41" s="228"/>
      <c r="IQI41" s="228"/>
      <c r="IQJ41" s="228"/>
      <c r="IQK41" s="228"/>
      <c r="IQL41" s="228"/>
      <c r="IQM41" s="226"/>
      <c r="IQN41" s="226"/>
      <c r="IQO41" s="224"/>
      <c r="IQP41" s="225"/>
      <c r="IQQ41" s="226"/>
      <c r="IQR41" s="227"/>
      <c r="IQS41" s="228"/>
      <c r="IQT41" s="228"/>
      <c r="IQU41" s="228"/>
      <c r="IQV41" s="228"/>
      <c r="IQW41" s="228"/>
      <c r="IQX41" s="228"/>
      <c r="IQY41" s="226"/>
      <c r="IQZ41" s="226"/>
      <c r="IRA41" s="224"/>
      <c r="IRB41" s="225"/>
      <c r="IRC41" s="226"/>
      <c r="IRD41" s="227"/>
      <c r="IRE41" s="228"/>
      <c r="IRF41" s="228"/>
      <c r="IRG41" s="228"/>
      <c r="IRH41" s="228"/>
      <c r="IRI41" s="228"/>
      <c r="IRJ41" s="228"/>
      <c r="IRK41" s="226"/>
      <c r="IRL41" s="226"/>
      <c r="IRM41" s="224"/>
      <c r="IRN41" s="225"/>
      <c r="IRO41" s="226"/>
      <c r="IRP41" s="227"/>
      <c r="IRQ41" s="228"/>
      <c r="IRR41" s="228"/>
      <c r="IRS41" s="228"/>
      <c r="IRT41" s="228"/>
      <c r="IRU41" s="228"/>
      <c r="IRV41" s="228"/>
      <c r="IRW41" s="226"/>
      <c r="IRX41" s="226"/>
      <c r="IRY41" s="224"/>
      <c r="IRZ41" s="225"/>
      <c r="ISA41" s="226"/>
      <c r="ISB41" s="227"/>
      <c r="ISC41" s="228"/>
      <c r="ISD41" s="228"/>
      <c r="ISE41" s="228"/>
      <c r="ISF41" s="228"/>
      <c r="ISG41" s="228"/>
      <c r="ISH41" s="228"/>
      <c r="ISI41" s="226"/>
      <c r="ISJ41" s="226"/>
      <c r="ISK41" s="224"/>
      <c r="ISL41" s="225"/>
      <c r="ISM41" s="226"/>
      <c r="ISN41" s="227"/>
      <c r="ISO41" s="228"/>
      <c r="ISP41" s="228"/>
      <c r="ISQ41" s="228"/>
      <c r="ISR41" s="228"/>
      <c r="ISS41" s="228"/>
      <c r="IST41" s="228"/>
      <c r="ISU41" s="226"/>
      <c r="ISV41" s="226"/>
      <c r="ISW41" s="224"/>
      <c r="ISX41" s="225"/>
      <c r="ISY41" s="226"/>
      <c r="ISZ41" s="227"/>
      <c r="ITA41" s="228"/>
      <c r="ITB41" s="228"/>
      <c r="ITC41" s="228"/>
      <c r="ITD41" s="228"/>
      <c r="ITE41" s="228"/>
      <c r="ITF41" s="228"/>
      <c r="ITG41" s="226"/>
      <c r="ITH41" s="226"/>
      <c r="ITI41" s="224"/>
      <c r="ITJ41" s="225"/>
      <c r="ITK41" s="226"/>
      <c r="ITL41" s="227"/>
      <c r="ITM41" s="228"/>
      <c r="ITN41" s="228"/>
      <c r="ITO41" s="228"/>
      <c r="ITP41" s="228"/>
      <c r="ITQ41" s="228"/>
      <c r="ITR41" s="228"/>
      <c r="ITS41" s="226"/>
      <c r="ITT41" s="226"/>
      <c r="ITU41" s="224"/>
      <c r="ITV41" s="225"/>
      <c r="ITW41" s="226"/>
      <c r="ITX41" s="227"/>
      <c r="ITY41" s="228"/>
      <c r="ITZ41" s="228"/>
      <c r="IUA41" s="228"/>
      <c r="IUB41" s="228"/>
      <c r="IUC41" s="228"/>
      <c r="IUD41" s="228"/>
      <c r="IUE41" s="226"/>
      <c r="IUF41" s="226"/>
      <c r="IUG41" s="224"/>
      <c r="IUH41" s="225"/>
      <c r="IUI41" s="226"/>
      <c r="IUJ41" s="227"/>
      <c r="IUK41" s="228"/>
      <c r="IUL41" s="228"/>
      <c r="IUM41" s="228"/>
      <c r="IUN41" s="228"/>
      <c r="IUO41" s="228"/>
      <c r="IUP41" s="228"/>
      <c r="IUQ41" s="226"/>
      <c r="IUR41" s="226"/>
      <c r="IUS41" s="224"/>
      <c r="IUT41" s="225"/>
      <c r="IUU41" s="226"/>
      <c r="IUV41" s="227"/>
      <c r="IUW41" s="228"/>
      <c r="IUX41" s="228"/>
      <c r="IUY41" s="228"/>
      <c r="IUZ41" s="228"/>
      <c r="IVA41" s="228"/>
      <c r="IVB41" s="228"/>
      <c r="IVC41" s="226"/>
      <c r="IVD41" s="226"/>
      <c r="IVE41" s="224"/>
      <c r="IVF41" s="225"/>
      <c r="IVG41" s="226"/>
      <c r="IVH41" s="227"/>
      <c r="IVI41" s="228"/>
      <c r="IVJ41" s="228"/>
      <c r="IVK41" s="228"/>
      <c r="IVL41" s="228"/>
      <c r="IVM41" s="228"/>
      <c r="IVN41" s="228"/>
      <c r="IVO41" s="226"/>
      <c r="IVP41" s="226"/>
      <c r="IVQ41" s="224"/>
      <c r="IVR41" s="225"/>
      <c r="IVS41" s="226"/>
      <c r="IVT41" s="227"/>
      <c r="IVU41" s="228"/>
      <c r="IVV41" s="228"/>
      <c r="IVW41" s="228"/>
      <c r="IVX41" s="228"/>
      <c r="IVY41" s="228"/>
      <c r="IVZ41" s="228"/>
      <c r="IWA41" s="226"/>
      <c r="IWB41" s="226"/>
      <c r="IWC41" s="224"/>
      <c r="IWD41" s="225"/>
      <c r="IWE41" s="226"/>
      <c r="IWF41" s="227"/>
      <c r="IWG41" s="228"/>
      <c r="IWH41" s="228"/>
      <c r="IWI41" s="228"/>
      <c r="IWJ41" s="228"/>
      <c r="IWK41" s="228"/>
      <c r="IWL41" s="228"/>
      <c r="IWM41" s="226"/>
      <c r="IWN41" s="226"/>
      <c r="IWO41" s="224"/>
      <c r="IWP41" s="225"/>
      <c r="IWQ41" s="226"/>
      <c r="IWR41" s="227"/>
      <c r="IWS41" s="228"/>
      <c r="IWT41" s="228"/>
      <c r="IWU41" s="228"/>
      <c r="IWV41" s="228"/>
      <c r="IWW41" s="228"/>
      <c r="IWX41" s="228"/>
      <c r="IWY41" s="226"/>
      <c r="IWZ41" s="226"/>
      <c r="IXA41" s="224"/>
      <c r="IXB41" s="225"/>
      <c r="IXC41" s="226"/>
      <c r="IXD41" s="227"/>
      <c r="IXE41" s="228"/>
      <c r="IXF41" s="228"/>
      <c r="IXG41" s="228"/>
      <c r="IXH41" s="228"/>
      <c r="IXI41" s="228"/>
      <c r="IXJ41" s="228"/>
      <c r="IXK41" s="226"/>
      <c r="IXL41" s="226"/>
      <c r="IXM41" s="224"/>
      <c r="IXN41" s="225"/>
      <c r="IXO41" s="226"/>
      <c r="IXP41" s="227"/>
      <c r="IXQ41" s="228"/>
      <c r="IXR41" s="228"/>
      <c r="IXS41" s="228"/>
      <c r="IXT41" s="228"/>
      <c r="IXU41" s="228"/>
      <c r="IXV41" s="228"/>
      <c r="IXW41" s="226"/>
      <c r="IXX41" s="226"/>
      <c r="IXY41" s="224"/>
      <c r="IXZ41" s="225"/>
      <c r="IYA41" s="226"/>
      <c r="IYB41" s="227"/>
      <c r="IYC41" s="228"/>
      <c r="IYD41" s="228"/>
      <c r="IYE41" s="228"/>
      <c r="IYF41" s="228"/>
      <c r="IYG41" s="228"/>
      <c r="IYH41" s="228"/>
      <c r="IYI41" s="226"/>
      <c r="IYJ41" s="226"/>
      <c r="IYK41" s="224"/>
      <c r="IYL41" s="225"/>
      <c r="IYM41" s="226"/>
      <c r="IYN41" s="227"/>
      <c r="IYO41" s="228"/>
      <c r="IYP41" s="228"/>
      <c r="IYQ41" s="228"/>
      <c r="IYR41" s="228"/>
      <c r="IYS41" s="228"/>
      <c r="IYT41" s="228"/>
      <c r="IYU41" s="226"/>
      <c r="IYV41" s="226"/>
      <c r="IYW41" s="224"/>
      <c r="IYX41" s="225"/>
      <c r="IYY41" s="226"/>
      <c r="IYZ41" s="227"/>
      <c r="IZA41" s="228"/>
      <c r="IZB41" s="228"/>
      <c r="IZC41" s="228"/>
      <c r="IZD41" s="228"/>
      <c r="IZE41" s="228"/>
      <c r="IZF41" s="228"/>
      <c r="IZG41" s="226"/>
      <c r="IZH41" s="226"/>
      <c r="IZI41" s="224"/>
      <c r="IZJ41" s="225"/>
      <c r="IZK41" s="226"/>
      <c r="IZL41" s="227"/>
      <c r="IZM41" s="228"/>
      <c r="IZN41" s="228"/>
      <c r="IZO41" s="228"/>
      <c r="IZP41" s="228"/>
      <c r="IZQ41" s="228"/>
      <c r="IZR41" s="228"/>
      <c r="IZS41" s="226"/>
      <c r="IZT41" s="226"/>
      <c r="IZU41" s="224"/>
      <c r="IZV41" s="225"/>
      <c r="IZW41" s="226"/>
      <c r="IZX41" s="227"/>
      <c r="IZY41" s="228"/>
      <c r="IZZ41" s="228"/>
      <c r="JAA41" s="228"/>
      <c r="JAB41" s="228"/>
      <c r="JAC41" s="228"/>
      <c r="JAD41" s="228"/>
      <c r="JAE41" s="226"/>
      <c r="JAF41" s="226"/>
      <c r="JAG41" s="224"/>
      <c r="JAH41" s="225"/>
      <c r="JAI41" s="226"/>
      <c r="JAJ41" s="227"/>
      <c r="JAK41" s="228"/>
      <c r="JAL41" s="228"/>
      <c r="JAM41" s="228"/>
      <c r="JAN41" s="228"/>
      <c r="JAO41" s="228"/>
      <c r="JAP41" s="228"/>
      <c r="JAQ41" s="226"/>
      <c r="JAR41" s="226"/>
      <c r="JAS41" s="224"/>
      <c r="JAT41" s="225"/>
      <c r="JAU41" s="226"/>
      <c r="JAV41" s="227"/>
      <c r="JAW41" s="228"/>
      <c r="JAX41" s="228"/>
      <c r="JAY41" s="228"/>
      <c r="JAZ41" s="228"/>
      <c r="JBA41" s="228"/>
      <c r="JBB41" s="228"/>
      <c r="JBC41" s="226"/>
      <c r="JBD41" s="226"/>
      <c r="JBE41" s="224"/>
      <c r="JBF41" s="225"/>
      <c r="JBG41" s="226"/>
      <c r="JBH41" s="227"/>
      <c r="JBI41" s="228"/>
      <c r="JBJ41" s="228"/>
      <c r="JBK41" s="228"/>
      <c r="JBL41" s="228"/>
      <c r="JBM41" s="228"/>
      <c r="JBN41" s="228"/>
      <c r="JBO41" s="226"/>
      <c r="JBP41" s="226"/>
      <c r="JBQ41" s="224"/>
      <c r="JBR41" s="225"/>
      <c r="JBS41" s="226"/>
      <c r="JBT41" s="227"/>
      <c r="JBU41" s="228"/>
      <c r="JBV41" s="228"/>
      <c r="JBW41" s="228"/>
      <c r="JBX41" s="228"/>
      <c r="JBY41" s="228"/>
      <c r="JBZ41" s="228"/>
      <c r="JCA41" s="226"/>
      <c r="JCB41" s="226"/>
      <c r="JCC41" s="224"/>
      <c r="JCD41" s="225"/>
      <c r="JCE41" s="226"/>
      <c r="JCF41" s="227"/>
      <c r="JCG41" s="228"/>
      <c r="JCH41" s="228"/>
      <c r="JCI41" s="228"/>
      <c r="JCJ41" s="228"/>
      <c r="JCK41" s="228"/>
      <c r="JCL41" s="228"/>
      <c r="JCM41" s="226"/>
      <c r="JCN41" s="226"/>
      <c r="JCO41" s="224"/>
      <c r="JCP41" s="225"/>
      <c r="JCQ41" s="226"/>
      <c r="JCR41" s="227"/>
      <c r="JCS41" s="228"/>
      <c r="JCT41" s="228"/>
      <c r="JCU41" s="228"/>
      <c r="JCV41" s="228"/>
      <c r="JCW41" s="228"/>
      <c r="JCX41" s="228"/>
      <c r="JCY41" s="226"/>
      <c r="JCZ41" s="226"/>
      <c r="JDA41" s="224"/>
      <c r="JDB41" s="225"/>
      <c r="JDC41" s="226"/>
      <c r="JDD41" s="227"/>
      <c r="JDE41" s="228"/>
      <c r="JDF41" s="228"/>
      <c r="JDG41" s="228"/>
      <c r="JDH41" s="228"/>
      <c r="JDI41" s="228"/>
      <c r="JDJ41" s="228"/>
      <c r="JDK41" s="226"/>
      <c r="JDL41" s="226"/>
      <c r="JDM41" s="224"/>
      <c r="JDN41" s="225"/>
      <c r="JDO41" s="226"/>
      <c r="JDP41" s="227"/>
      <c r="JDQ41" s="228"/>
      <c r="JDR41" s="228"/>
      <c r="JDS41" s="228"/>
      <c r="JDT41" s="228"/>
      <c r="JDU41" s="228"/>
      <c r="JDV41" s="228"/>
      <c r="JDW41" s="226"/>
      <c r="JDX41" s="226"/>
      <c r="JDY41" s="224"/>
      <c r="JDZ41" s="225"/>
      <c r="JEA41" s="226"/>
      <c r="JEB41" s="227"/>
      <c r="JEC41" s="228"/>
      <c r="JED41" s="228"/>
      <c r="JEE41" s="228"/>
      <c r="JEF41" s="228"/>
      <c r="JEG41" s="228"/>
      <c r="JEH41" s="228"/>
      <c r="JEI41" s="226"/>
      <c r="JEJ41" s="226"/>
      <c r="JEK41" s="224"/>
      <c r="JEL41" s="225"/>
      <c r="JEM41" s="226"/>
      <c r="JEN41" s="227"/>
      <c r="JEO41" s="228"/>
      <c r="JEP41" s="228"/>
      <c r="JEQ41" s="228"/>
      <c r="JER41" s="228"/>
      <c r="JES41" s="228"/>
      <c r="JET41" s="228"/>
      <c r="JEU41" s="226"/>
      <c r="JEV41" s="226"/>
      <c r="JEW41" s="224"/>
      <c r="JEX41" s="225"/>
      <c r="JEY41" s="226"/>
      <c r="JEZ41" s="227"/>
      <c r="JFA41" s="228"/>
      <c r="JFB41" s="228"/>
      <c r="JFC41" s="228"/>
      <c r="JFD41" s="228"/>
      <c r="JFE41" s="228"/>
      <c r="JFF41" s="228"/>
      <c r="JFG41" s="226"/>
      <c r="JFH41" s="226"/>
      <c r="JFI41" s="224"/>
      <c r="JFJ41" s="225"/>
      <c r="JFK41" s="226"/>
      <c r="JFL41" s="227"/>
      <c r="JFM41" s="228"/>
      <c r="JFN41" s="228"/>
      <c r="JFO41" s="228"/>
      <c r="JFP41" s="228"/>
      <c r="JFQ41" s="228"/>
      <c r="JFR41" s="228"/>
      <c r="JFS41" s="226"/>
      <c r="JFT41" s="226"/>
      <c r="JFU41" s="224"/>
      <c r="JFV41" s="225"/>
      <c r="JFW41" s="226"/>
      <c r="JFX41" s="227"/>
      <c r="JFY41" s="228"/>
      <c r="JFZ41" s="228"/>
      <c r="JGA41" s="228"/>
      <c r="JGB41" s="228"/>
      <c r="JGC41" s="228"/>
      <c r="JGD41" s="228"/>
      <c r="JGE41" s="226"/>
      <c r="JGF41" s="226"/>
      <c r="JGG41" s="224"/>
      <c r="JGH41" s="225"/>
      <c r="JGI41" s="226"/>
      <c r="JGJ41" s="227"/>
      <c r="JGK41" s="228"/>
      <c r="JGL41" s="228"/>
      <c r="JGM41" s="228"/>
      <c r="JGN41" s="228"/>
      <c r="JGO41" s="228"/>
      <c r="JGP41" s="228"/>
      <c r="JGQ41" s="226"/>
      <c r="JGR41" s="226"/>
      <c r="JGS41" s="224"/>
      <c r="JGT41" s="225"/>
      <c r="JGU41" s="226"/>
      <c r="JGV41" s="227"/>
      <c r="JGW41" s="228"/>
      <c r="JGX41" s="228"/>
      <c r="JGY41" s="228"/>
      <c r="JGZ41" s="228"/>
      <c r="JHA41" s="228"/>
      <c r="JHB41" s="228"/>
      <c r="JHC41" s="226"/>
      <c r="JHD41" s="226"/>
      <c r="JHE41" s="224"/>
      <c r="JHF41" s="225"/>
      <c r="JHG41" s="226"/>
      <c r="JHH41" s="227"/>
      <c r="JHI41" s="228"/>
      <c r="JHJ41" s="228"/>
      <c r="JHK41" s="228"/>
      <c r="JHL41" s="228"/>
      <c r="JHM41" s="228"/>
      <c r="JHN41" s="228"/>
      <c r="JHO41" s="226"/>
      <c r="JHP41" s="226"/>
      <c r="JHQ41" s="224"/>
      <c r="JHR41" s="225"/>
      <c r="JHS41" s="226"/>
      <c r="JHT41" s="227"/>
      <c r="JHU41" s="228"/>
      <c r="JHV41" s="228"/>
      <c r="JHW41" s="228"/>
      <c r="JHX41" s="228"/>
      <c r="JHY41" s="228"/>
      <c r="JHZ41" s="228"/>
      <c r="JIA41" s="226"/>
      <c r="JIB41" s="226"/>
      <c r="JIC41" s="224"/>
      <c r="JID41" s="225"/>
      <c r="JIE41" s="226"/>
      <c r="JIF41" s="227"/>
      <c r="JIG41" s="228"/>
      <c r="JIH41" s="228"/>
      <c r="JII41" s="228"/>
      <c r="JIJ41" s="228"/>
      <c r="JIK41" s="228"/>
      <c r="JIL41" s="228"/>
      <c r="JIM41" s="226"/>
      <c r="JIN41" s="226"/>
      <c r="JIO41" s="224"/>
      <c r="JIP41" s="225"/>
      <c r="JIQ41" s="226"/>
      <c r="JIR41" s="227"/>
      <c r="JIS41" s="228"/>
      <c r="JIT41" s="228"/>
      <c r="JIU41" s="228"/>
      <c r="JIV41" s="228"/>
      <c r="JIW41" s="228"/>
      <c r="JIX41" s="228"/>
      <c r="JIY41" s="226"/>
      <c r="JIZ41" s="226"/>
      <c r="JJA41" s="224"/>
      <c r="JJB41" s="225"/>
      <c r="JJC41" s="226"/>
      <c r="JJD41" s="227"/>
      <c r="JJE41" s="228"/>
      <c r="JJF41" s="228"/>
      <c r="JJG41" s="228"/>
      <c r="JJH41" s="228"/>
      <c r="JJI41" s="228"/>
      <c r="JJJ41" s="228"/>
      <c r="JJK41" s="226"/>
      <c r="JJL41" s="226"/>
      <c r="JJM41" s="224"/>
      <c r="JJN41" s="225"/>
      <c r="JJO41" s="226"/>
      <c r="JJP41" s="227"/>
      <c r="JJQ41" s="228"/>
      <c r="JJR41" s="228"/>
      <c r="JJS41" s="228"/>
      <c r="JJT41" s="228"/>
      <c r="JJU41" s="228"/>
      <c r="JJV41" s="228"/>
      <c r="JJW41" s="226"/>
      <c r="JJX41" s="226"/>
      <c r="JJY41" s="224"/>
      <c r="JJZ41" s="225"/>
      <c r="JKA41" s="226"/>
      <c r="JKB41" s="227"/>
      <c r="JKC41" s="228"/>
      <c r="JKD41" s="228"/>
      <c r="JKE41" s="228"/>
      <c r="JKF41" s="228"/>
      <c r="JKG41" s="228"/>
      <c r="JKH41" s="228"/>
      <c r="JKI41" s="226"/>
      <c r="JKJ41" s="226"/>
      <c r="JKK41" s="224"/>
      <c r="JKL41" s="225"/>
      <c r="JKM41" s="226"/>
      <c r="JKN41" s="227"/>
      <c r="JKO41" s="228"/>
      <c r="JKP41" s="228"/>
      <c r="JKQ41" s="228"/>
      <c r="JKR41" s="228"/>
      <c r="JKS41" s="228"/>
      <c r="JKT41" s="228"/>
      <c r="JKU41" s="226"/>
      <c r="JKV41" s="226"/>
      <c r="JKW41" s="224"/>
      <c r="JKX41" s="225"/>
      <c r="JKY41" s="226"/>
      <c r="JKZ41" s="227"/>
      <c r="JLA41" s="228"/>
      <c r="JLB41" s="228"/>
      <c r="JLC41" s="228"/>
      <c r="JLD41" s="228"/>
      <c r="JLE41" s="228"/>
      <c r="JLF41" s="228"/>
      <c r="JLG41" s="226"/>
      <c r="JLH41" s="226"/>
      <c r="JLI41" s="224"/>
      <c r="JLJ41" s="225"/>
      <c r="JLK41" s="226"/>
      <c r="JLL41" s="227"/>
      <c r="JLM41" s="228"/>
      <c r="JLN41" s="228"/>
      <c r="JLO41" s="228"/>
      <c r="JLP41" s="228"/>
      <c r="JLQ41" s="228"/>
      <c r="JLR41" s="228"/>
      <c r="JLS41" s="226"/>
      <c r="JLT41" s="226"/>
      <c r="JLU41" s="224"/>
      <c r="JLV41" s="225"/>
      <c r="JLW41" s="226"/>
      <c r="JLX41" s="227"/>
      <c r="JLY41" s="228"/>
      <c r="JLZ41" s="228"/>
      <c r="JMA41" s="228"/>
      <c r="JMB41" s="228"/>
      <c r="JMC41" s="228"/>
      <c r="JMD41" s="228"/>
      <c r="JME41" s="226"/>
      <c r="JMF41" s="226"/>
      <c r="JMG41" s="224"/>
      <c r="JMH41" s="225"/>
      <c r="JMI41" s="226"/>
      <c r="JMJ41" s="227"/>
      <c r="JMK41" s="228"/>
      <c r="JML41" s="228"/>
      <c r="JMM41" s="228"/>
      <c r="JMN41" s="228"/>
      <c r="JMO41" s="228"/>
      <c r="JMP41" s="228"/>
      <c r="JMQ41" s="226"/>
      <c r="JMR41" s="226"/>
      <c r="JMS41" s="224"/>
      <c r="JMT41" s="225"/>
      <c r="JMU41" s="226"/>
      <c r="JMV41" s="227"/>
      <c r="JMW41" s="228"/>
      <c r="JMX41" s="228"/>
      <c r="JMY41" s="228"/>
      <c r="JMZ41" s="228"/>
      <c r="JNA41" s="228"/>
      <c r="JNB41" s="228"/>
      <c r="JNC41" s="226"/>
      <c r="JND41" s="226"/>
      <c r="JNE41" s="224"/>
      <c r="JNF41" s="225"/>
      <c r="JNG41" s="226"/>
      <c r="JNH41" s="227"/>
      <c r="JNI41" s="228"/>
      <c r="JNJ41" s="228"/>
      <c r="JNK41" s="228"/>
      <c r="JNL41" s="228"/>
      <c r="JNM41" s="228"/>
      <c r="JNN41" s="228"/>
      <c r="JNO41" s="226"/>
      <c r="JNP41" s="226"/>
      <c r="JNQ41" s="224"/>
      <c r="JNR41" s="225"/>
      <c r="JNS41" s="226"/>
      <c r="JNT41" s="227"/>
      <c r="JNU41" s="228"/>
      <c r="JNV41" s="228"/>
      <c r="JNW41" s="228"/>
      <c r="JNX41" s="228"/>
      <c r="JNY41" s="228"/>
      <c r="JNZ41" s="228"/>
      <c r="JOA41" s="226"/>
      <c r="JOB41" s="226"/>
      <c r="JOC41" s="224"/>
      <c r="JOD41" s="225"/>
      <c r="JOE41" s="226"/>
      <c r="JOF41" s="227"/>
      <c r="JOG41" s="228"/>
      <c r="JOH41" s="228"/>
      <c r="JOI41" s="228"/>
      <c r="JOJ41" s="228"/>
      <c r="JOK41" s="228"/>
      <c r="JOL41" s="228"/>
      <c r="JOM41" s="226"/>
      <c r="JON41" s="226"/>
      <c r="JOO41" s="224"/>
      <c r="JOP41" s="225"/>
      <c r="JOQ41" s="226"/>
      <c r="JOR41" s="227"/>
      <c r="JOS41" s="228"/>
      <c r="JOT41" s="228"/>
      <c r="JOU41" s="228"/>
      <c r="JOV41" s="228"/>
      <c r="JOW41" s="228"/>
      <c r="JOX41" s="228"/>
      <c r="JOY41" s="226"/>
      <c r="JOZ41" s="226"/>
      <c r="JPA41" s="224"/>
      <c r="JPB41" s="225"/>
      <c r="JPC41" s="226"/>
      <c r="JPD41" s="227"/>
      <c r="JPE41" s="228"/>
      <c r="JPF41" s="228"/>
      <c r="JPG41" s="228"/>
      <c r="JPH41" s="228"/>
      <c r="JPI41" s="228"/>
      <c r="JPJ41" s="228"/>
      <c r="JPK41" s="226"/>
      <c r="JPL41" s="226"/>
      <c r="JPM41" s="224"/>
      <c r="JPN41" s="225"/>
      <c r="JPO41" s="226"/>
      <c r="JPP41" s="227"/>
      <c r="JPQ41" s="228"/>
      <c r="JPR41" s="228"/>
      <c r="JPS41" s="228"/>
      <c r="JPT41" s="228"/>
      <c r="JPU41" s="228"/>
      <c r="JPV41" s="228"/>
      <c r="JPW41" s="226"/>
      <c r="JPX41" s="226"/>
      <c r="JPY41" s="224"/>
      <c r="JPZ41" s="225"/>
      <c r="JQA41" s="226"/>
      <c r="JQB41" s="227"/>
      <c r="JQC41" s="228"/>
      <c r="JQD41" s="228"/>
      <c r="JQE41" s="228"/>
      <c r="JQF41" s="228"/>
      <c r="JQG41" s="228"/>
      <c r="JQH41" s="228"/>
      <c r="JQI41" s="226"/>
      <c r="JQJ41" s="226"/>
      <c r="JQK41" s="224"/>
      <c r="JQL41" s="225"/>
      <c r="JQM41" s="226"/>
      <c r="JQN41" s="227"/>
      <c r="JQO41" s="228"/>
      <c r="JQP41" s="228"/>
      <c r="JQQ41" s="228"/>
      <c r="JQR41" s="228"/>
      <c r="JQS41" s="228"/>
      <c r="JQT41" s="228"/>
      <c r="JQU41" s="226"/>
      <c r="JQV41" s="226"/>
      <c r="JQW41" s="224"/>
      <c r="JQX41" s="225"/>
      <c r="JQY41" s="226"/>
      <c r="JQZ41" s="227"/>
      <c r="JRA41" s="228"/>
      <c r="JRB41" s="228"/>
      <c r="JRC41" s="228"/>
      <c r="JRD41" s="228"/>
      <c r="JRE41" s="228"/>
      <c r="JRF41" s="228"/>
      <c r="JRG41" s="226"/>
      <c r="JRH41" s="226"/>
      <c r="JRI41" s="224"/>
      <c r="JRJ41" s="225"/>
      <c r="JRK41" s="226"/>
      <c r="JRL41" s="227"/>
      <c r="JRM41" s="228"/>
      <c r="JRN41" s="228"/>
      <c r="JRO41" s="228"/>
      <c r="JRP41" s="228"/>
      <c r="JRQ41" s="228"/>
      <c r="JRR41" s="228"/>
      <c r="JRS41" s="226"/>
      <c r="JRT41" s="226"/>
      <c r="JRU41" s="224"/>
      <c r="JRV41" s="225"/>
      <c r="JRW41" s="226"/>
      <c r="JRX41" s="227"/>
      <c r="JRY41" s="228"/>
      <c r="JRZ41" s="228"/>
      <c r="JSA41" s="228"/>
      <c r="JSB41" s="228"/>
      <c r="JSC41" s="228"/>
      <c r="JSD41" s="228"/>
      <c r="JSE41" s="226"/>
      <c r="JSF41" s="226"/>
      <c r="JSG41" s="224"/>
      <c r="JSH41" s="225"/>
      <c r="JSI41" s="226"/>
      <c r="JSJ41" s="227"/>
      <c r="JSK41" s="228"/>
      <c r="JSL41" s="228"/>
      <c r="JSM41" s="228"/>
      <c r="JSN41" s="228"/>
      <c r="JSO41" s="228"/>
      <c r="JSP41" s="228"/>
      <c r="JSQ41" s="226"/>
      <c r="JSR41" s="226"/>
      <c r="JSS41" s="224"/>
      <c r="JST41" s="225"/>
      <c r="JSU41" s="226"/>
      <c r="JSV41" s="227"/>
      <c r="JSW41" s="228"/>
      <c r="JSX41" s="228"/>
      <c r="JSY41" s="228"/>
      <c r="JSZ41" s="228"/>
      <c r="JTA41" s="228"/>
      <c r="JTB41" s="228"/>
      <c r="JTC41" s="226"/>
      <c r="JTD41" s="226"/>
      <c r="JTE41" s="224"/>
      <c r="JTF41" s="225"/>
      <c r="JTG41" s="226"/>
      <c r="JTH41" s="227"/>
      <c r="JTI41" s="228"/>
      <c r="JTJ41" s="228"/>
      <c r="JTK41" s="228"/>
      <c r="JTL41" s="228"/>
      <c r="JTM41" s="228"/>
      <c r="JTN41" s="228"/>
      <c r="JTO41" s="226"/>
      <c r="JTP41" s="226"/>
      <c r="JTQ41" s="224"/>
      <c r="JTR41" s="225"/>
      <c r="JTS41" s="226"/>
      <c r="JTT41" s="227"/>
      <c r="JTU41" s="228"/>
      <c r="JTV41" s="228"/>
      <c r="JTW41" s="228"/>
      <c r="JTX41" s="228"/>
      <c r="JTY41" s="228"/>
      <c r="JTZ41" s="228"/>
      <c r="JUA41" s="226"/>
      <c r="JUB41" s="226"/>
      <c r="JUC41" s="224"/>
      <c r="JUD41" s="225"/>
      <c r="JUE41" s="226"/>
      <c r="JUF41" s="227"/>
      <c r="JUG41" s="228"/>
      <c r="JUH41" s="228"/>
      <c r="JUI41" s="228"/>
      <c r="JUJ41" s="228"/>
      <c r="JUK41" s="228"/>
      <c r="JUL41" s="228"/>
      <c r="JUM41" s="226"/>
      <c r="JUN41" s="226"/>
      <c r="JUO41" s="224"/>
      <c r="JUP41" s="225"/>
      <c r="JUQ41" s="226"/>
      <c r="JUR41" s="227"/>
      <c r="JUS41" s="228"/>
      <c r="JUT41" s="228"/>
      <c r="JUU41" s="228"/>
      <c r="JUV41" s="228"/>
      <c r="JUW41" s="228"/>
      <c r="JUX41" s="228"/>
      <c r="JUY41" s="226"/>
      <c r="JUZ41" s="226"/>
      <c r="JVA41" s="224"/>
      <c r="JVB41" s="225"/>
      <c r="JVC41" s="226"/>
      <c r="JVD41" s="227"/>
      <c r="JVE41" s="228"/>
      <c r="JVF41" s="228"/>
      <c r="JVG41" s="228"/>
      <c r="JVH41" s="228"/>
      <c r="JVI41" s="228"/>
      <c r="JVJ41" s="228"/>
      <c r="JVK41" s="226"/>
      <c r="JVL41" s="226"/>
      <c r="JVM41" s="224"/>
      <c r="JVN41" s="225"/>
      <c r="JVO41" s="226"/>
      <c r="JVP41" s="227"/>
      <c r="JVQ41" s="228"/>
      <c r="JVR41" s="228"/>
      <c r="JVS41" s="228"/>
      <c r="JVT41" s="228"/>
      <c r="JVU41" s="228"/>
      <c r="JVV41" s="228"/>
      <c r="JVW41" s="226"/>
      <c r="JVX41" s="226"/>
      <c r="JVY41" s="224"/>
      <c r="JVZ41" s="225"/>
      <c r="JWA41" s="226"/>
      <c r="JWB41" s="227"/>
      <c r="JWC41" s="228"/>
      <c r="JWD41" s="228"/>
      <c r="JWE41" s="228"/>
      <c r="JWF41" s="228"/>
      <c r="JWG41" s="228"/>
      <c r="JWH41" s="228"/>
      <c r="JWI41" s="226"/>
      <c r="JWJ41" s="226"/>
      <c r="JWK41" s="224"/>
      <c r="JWL41" s="225"/>
      <c r="JWM41" s="226"/>
      <c r="JWN41" s="227"/>
      <c r="JWO41" s="228"/>
      <c r="JWP41" s="228"/>
      <c r="JWQ41" s="228"/>
      <c r="JWR41" s="228"/>
      <c r="JWS41" s="228"/>
      <c r="JWT41" s="228"/>
      <c r="JWU41" s="226"/>
      <c r="JWV41" s="226"/>
      <c r="JWW41" s="224"/>
      <c r="JWX41" s="225"/>
      <c r="JWY41" s="226"/>
      <c r="JWZ41" s="227"/>
      <c r="JXA41" s="228"/>
      <c r="JXB41" s="228"/>
      <c r="JXC41" s="228"/>
      <c r="JXD41" s="228"/>
      <c r="JXE41" s="228"/>
      <c r="JXF41" s="228"/>
      <c r="JXG41" s="226"/>
      <c r="JXH41" s="226"/>
      <c r="JXI41" s="224"/>
      <c r="JXJ41" s="225"/>
      <c r="JXK41" s="226"/>
      <c r="JXL41" s="227"/>
      <c r="JXM41" s="228"/>
      <c r="JXN41" s="228"/>
      <c r="JXO41" s="228"/>
      <c r="JXP41" s="228"/>
      <c r="JXQ41" s="228"/>
      <c r="JXR41" s="228"/>
      <c r="JXS41" s="226"/>
      <c r="JXT41" s="226"/>
      <c r="JXU41" s="224"/>
      <c r="JXV41" s="225"/>
      <c r="JXW41" s="226"/>
      <c r="JXX41" s="227"/>
      <c r="JXY41" s="228"/>
      <c r="JXZ41" s="228"/>
      <c r="JYA41" s="228"/>
      <c r="JYB41" s="228"/>
      <c r="JYC41" s="228"/>
      <c r="JYD41" s="228"/>
      <c r="JYE41" s="226"/>
      <c r="JYF41" s="226"/>
      <c r="JYG41" s="224"/>
      <c r="JYH41" s="225"/>
      <c r="JYI41" s="226"/>
      <c r="JYJ41" s="227"/>
      <c r="JYK41" s="228"/>
      <c r="JYL41" s="228"/>
      <c r="JYM41" s="228"/>
      <c r="JYN41" s="228"/>
      <c r="JYO41" s="228"/>
      <c r="JYP41" s="228"/>
      <c r="JYQ41" s="226"/>
      <c r="JYR41" s="226"/>
      <c r="JYS41" s="224"/>
      <c r="JYT41" s="225"/>
      <c r="JYU41" s="226"/>
      <c r="JYV41" s="227"/>
      <c r="JYW41" s="228"/>
      <c r="JYX41" s="228"/>
      <c r="JYY41" s="228"/>
      <c r="JYZ41" s="228"/>
      <c r="JZA41" s="228"/>
      <c r="JZB41" s="228"/>
      <c r="JZC41" s="226"/>
      <c r="JZD41" s="226"/>
      <c r="JZE41" s="224"/>
      <c r="JZF41" s="225"/>
      <c r="JZG41" s="226"/>
      <c r="JZH41" s="227"/>
      <c r="JZI41" s="228"/>
      <c r="JZJ41" s="228"/>
      <c r="JZK41" s="228"/>
      <c r="JZL41" s="228"/>
      <c r="JZM41" s="228"/>
      <c r="JZN41" s="228"/>
      <c r="JZO41" s="226"/>
      <c r="JZP41" s="226"/>
      <c r="JZQ41" s="224"/>
      <c r="JZR41" s="225"/>
      <c r="JZS41" s="226"/>
      <c r="JZT41" s="227"/>
      <c r="JZU41" s="228"/>
      <c r="JZV41" s="228"/>
      <c r="JZW41" s="228"/>
      <c r="JZX41" s="228"/>
      <c r="JZY41" s="228"/>
      <c r="JZZ41" s="228"/>
      <c r="KAA41" s="226"/>
      <c r="KAB41" s="226"/>
      <c r="KAC41" s="224"/>
      <c r="KAD41" s="225"/>
      <c r="KAE41" s="226"/>
      <c r="KAF41" s="227"/>
      <c r="KAG41" s="228"/>
      <c r="KAH41" s="228"/>
      <c r="KAI41" s="228"/>
      <c r="KAJ41" s="228"/>
      <c r="KAK41" s="228"/>
      <c r="KAL41" s="228"/>
      <c r="KAM41" s="226"/>
      <c r="KAN41" s="226"/>
      <c r="KAO41" s="224"/>
      <c r="KAP41" s="225"/>
      <c r="KAQ41" s="226"/>
      <c r="KAR41" s="227"/>
      <c r="KAS41" s="228"/>
      <c r="KAT41" s="228"/>
      <c r="KAU41" s="228"/>
      <c r="KAV41" s="228"/>
      <c r="KAW41" s="228"/>
      <c r="KAX41" s="228"/>
      <c r="KAY41" s="226"/>
      <c r="KAZ41" s="226"/>
      <c r="KBA41" s="224"/>
      <c r="KBB41" s="225"/>
      <c r="KBC41" s="226"/>
      <c r="KBD41" s="227"/>
      <c r="KBE41" s="228"/>
      <c r="KBF41" s="228"/>
      <c r="KBG41" s="228"/>
      <c r="KBH41" s="228"/>
      <c r="KBI41" s="228"/>
      <c r="KBJ41" s="228"/>
      <c r="KBK41" s="226"/>
      <c r="KBL41" s="226"/>
      <c r="KBM41" s="224"/>
      <c r="KBN41" s="225"/>
      <c r="KBO41" s="226"/>
      <c r="KBP41" s="227"/>
      <c r="KBQ41" s="228"/>
      <c r="KBR41" s="228"/>
      <c r="KBS41" s="228"/>
      <c r="KBT41" s="228"/>
      <c r="KBU41" s="228"/>
      <c r="KBV41" s="228"/>
      <c r="KBW41" s="226"/>
      <c r="KBX41" s="226"/>
      <c r="KBY41" s="224"/>
      <c r="KBZ41" s="225"/>
      <c r="KCA41" s="226"/>
      <c r="KCB41" s="227"/>
      <c r="KCC41" s="228"/>
      <c r="KCD41" s="228"/>
      <c r="KCE41" s="228"/>
      <c r="KCF41" s="228"/>
      <c r="KCG41" s="228"/>
      <c r="KCH41" s="228"/>
      <c r="KCI41" s="226"/>
      <c r="KCJ41" s="226"/>
      <c r="KCK41" s="224"/>
      <c r="KCL41" s="225"/>
      <c r="KCM41" s="226"/>
      <c r="KCN41" s="227"/>
      <c r="KCO41" s="228"/>
      <c r="KCP41" s="228"/>
      <c r="KCQ41" s="228"/>
      <c r="KCR41" s="228"/>
      <c r="KCS41" s="228"/>
      <c r="KCT41" s="228"/>
      <c r="KCU41" s="226"/>
      <c r="KCV41" s="226"/>
      <c r="KCW41" s="224"/>
      <c r="KCX41" s="225"/>
      <c r="KCY41" s="226"/>
      <c r="KCZ41" s="227"/>
      <c r="KDA41" s="228"/>
      <c r="KDB41" s="228"/>
      <c r="KDC41" s="228"/>
      <c r="KDD41" s="228"/>
      <c r="KDE41" s="228"/>
      <c r="KDF41" s="228"/>
      <c r="KDG41" s="226"/>
      <c r="KDH41" s="226"/>
      <c r="KDI41" s="224"/>
      <c r="KDJ41" s="225"/>
      <c r="KDK41" s="226"/>
      <c r="KDL41" s="227"/>
      <c r="KDM41" s="228"/>
      <c r="KDN41" s="228"/>
      <c r="KDO41" s="228"/>
      <c r="KDP41" s="228"/>
      <c r="KDQ41" s="228"/>
      <c r="KDR41" s="228"/>
      <c r="KDS41" s="226"/>
      <c r="KDT41" s="226"/>
      <c r="KDU41" s="224"/>
      <c r="KDV41" s="225"/>
      <c r="KDW41" s="226"/>
      <c r="KDX41" s="227"/>
      <c r="KDY41" s="228"/>
      <c r="KDZ41" s="228"/>
      <c r="KEA41" s="228"/>
      <c r="KEB41" s="228"/>
      <c r="KEC41" s="228"/>
      <c r="KED41" s="228"/>
      <c r="KEE41" s="226"/>
      <c r="KEF41" s="226"/>
      <c r="KEG41" s="224"/>
      <c r="KEH41" s="225"/>
      <c r="KEI41" s="226"/>
      <c r="KEJ41" s="227"/>
      <c r="KEK41" s="228"/>
      <c r="KEL41" s="228"/>
      <c r="KEM41" s="228"/>
      <c r="KEN41" s="228"/>
      <c r="KEO41" s="228"/>
      <c r="KEP41" s="228"/>
      <c r="KEQ41" s="226"/>
      <c r="KER41" s="226"/>
      <c r="KES41" s="224"/>
      <c r="KET41" s="225"/>
      <c r="KEU41" s="226"/>
      <c r="KEV41" s="227"/>
      <c r="KEW41" s="228"/>
      <c r="KEX41" s="228"/>
      <c r="KEY41" s="228"/>
      <c r="KEZ41" s="228"/>
      <c r="KFA41" s="228"/>
      <c r="KFB41" s="228"/>
      <c r="KFC41" s="226"/>
      <c r="KFD41" s="226"/>
      <c r="KFE41" s="224"/>
      <c r="KFF41" s="225"/>
      <c r="KFG41" s="226"/>
      <c r="KFH41" s="227"/>
      <c r="KFI41" s="228"/>
      <c r="KFJ41" s="228"/>
      <c r="KFK41" s="228"/>
      <c r="KFL41" s="228"/>
      <c r="KFM41" s="228"/>
      <c r="KFN41" s="228"/>
      <c r="KFO41" s="226"/>
      <c r="KFP41" s="226"/>
      <c r="KFQ41" s="224"/>
      <c r="KFR41" s="225"/>
      <c r="KFS41" s="226"/>
      <c r="KFT41" s="227"/>
      <c r="KFU41" s="228"/>
      <c r="KFV41" s="228"/>
      <c r="KFW41" s="228"/>
      <c r="KFX41" s="228"/>
      <c r="KFY41" s="228"/>
      <c r="KFZ41" s="228"/>
      <c r="KGA41" s="226"/>
      <c r="KGB41" s="226"/>
      <c r="KGC41" s="224"/>
      <c r="KGD41" s="225"/>
      <c r="KGE41" s="226"/>
      <c r="KGF41" s="227"/>
      <c r="KGG41" s="228"/>
      <c r="KGH41" s="228"/>
      <c r="KGI41" s="228"/>
      <c r="KGJ41" s="228"/>
      <c r="KGK41" s="228"/>
      <c r="KGL41" s="228"/>
      <c r="KGM41" s="226"/>
      <c r="KGN41" s="226"/>
      <c r="KGO41" s="224"/>
      <c r="KGP41" s="225"/>
      <c r="KGQ41" s="226"/>
      <c r="KGR41" s="227"/>
      <c r="KGS41" s="228"/>
      <c r="KGT41" s="228"/>
      <c r="KGU41" s="228"/>
      <c r="KGV41" s="228"/>
      <c r="KGW41" s="228"/>
      <c r="KGX41" s="228"/>
      <c r="KGY41" s="226"/>
      <c r="KGZ41" s="226"/>
      <c r="KHA41" s="224"/>
      <c r="KHB41" s="225"/>
      <c r="KHC41" s="226"/>
      <c r="KHD41" s="227"/>
      <c r="KHE41" s="228"/>
      <c r="KHF41" s="228"/>
      <c r="KHG41" s="228"/>
      <c r="KHH41" s="228"/>
      <c r="KHI41" s="228"/>
      <c r="KHJ41" s="228"/>
      <c r="KHK41" s="226"/>
      <c r="KHL41" s="226"/>
      <c r="KHM41" s="224"/>
      <c r="KHN41" s="225"/>
      <c r="KHO41" s="226"/>
      <c r="KHP41" s="227"/>
      <c r="KHQ41" s="228"/>
      <c r="KHR41" s="228"/>
      <c r="KHS41" s="228"/>
      <c r="KHT41" s="228"/>
      <c r="KHU41" s="228"/>
      <c r="KHV41" s="228"/>
      <c r="KHW41" s="226"/>
      <c r="KHX41" s="226"/>
      <c r="KHY41" s="224"/>
      <c r="KHZ41" s="225"/>
      <c r="KIA41" s="226"/>
      <c r="KIB41" s="227"/>
      <c r="KIC41" s="228"/>
      <c r="KID41" s="228"/>
      <c r="KIE41" s="228"/>
      <c r="KIF41" s="228"/>
      <c r="KIG41" s="228"/>
      <c r="KIH41" s="228"/>
      <c r="KII41" s="226"/>
      <c r="KIJ41" s="226"/>
      <c r="KIK41" s="224"/>
      <c r="KIL41" s="225"/>
      <c r="KIM41" s="226"/>
      <c r="KIN41" s="227"/>
      <c r="KIO41" s="228"/>
      <c r="KIP41" s="228"/>
      <c r="KIQ41" s="228"/>
      <c r="KIR41" s="228"/>
      <c r="KIS41" s="228"/>
      <c r="KIT41" s="228"/>
      <c r="KIU41" s="226"/>
      <c r="KIV41" s="226"/>
      <c r="KIW41" s="224"/>
      <c r="KIX41" s="225"/>
      <c r="KIY41" s="226"/>
      <c r="KIZ41" s="227"/>
      <c r="KJA41" s="228"/>
      <c r="KJB41" s="228"/>
      <c r="KJC41" s="228"/>
      <c r="KJD41" s="228"/>
      <c r="KJE41" s="228"/>
      <c r="KJF41" s="228"/>
      <c r="KJG41" s="226"/>
      <c r="KJH41" s="226"/>
      <c r="KJI41" s="224"/>
      <c r="KJJ41" s="225"/>
      <c r="KJK41" s="226"/>
      <c r="KJL41" s="227"/>
      <c r="KJM41" s="228"/>
      <c r="KJN41" s="228"/>
      <c r="KJO41" s="228"/>
      <c r="KJP41" s="228"/>
      <c r="KJQ41" s="228"/>
      <c r="KJR41" s="228"/>
      <c r="KJS41" s="226"/>
      <c r="KJT41" s="226"/>
      <c r="KJU41" s="224"/>
      <c r="KJV41" s="225"/>
      <c r="KJW41" s="226"/>
      <c r="KJX41" s="227"/>
      <c r="KJY41" s="228"/>
      <c r="KJZ41" s="228"/>
      <c r="KKA41" s="228"/>
      <c r="KKB41" s="228"/>
      <c r="KKC41" s="228"/>
      <c r="KKD41" s="228"/>
      <c r="KKE41" s="226"/>
      <c r="KKF41" s="226"/>
      <c r="KKG41" s="224"/>
      <c r="KKH41" s="225"/>
      <c r="KKI41" s="226"/>
      <c r="KKJ41" s="227"/>
      <c r="KKK41" s="228"/>
      <c r="KKL41" s="228"/>
      <c r="KKM41" s="228"/>
      <c r="KKN41" s="228"/>
      <c r="KKO41" s="228"/>
      <c r="KKP41" s="228"/>
      <c r="KKQ41" s="226"/>
      <c r="KKR41" s="226"/>
      <c r="KKS41" s="224"/>
      <c r="KKT41" s="225"/>
      <c r="KKU41" s="226"/>
      <c r="KKV41" s="227"/>
      <c r="KKW41" s="228"/>
      <c r="KKX41" s="228"/>
      <c r="KKY41" s="228"/>
      <c r="KKZ41" s="228"/>
      <c r="KLA41" s="228"/>
      <c r="KLB41" s="228"/>
      <c r="KLC41" s="226"/>
      <c r="KLD41" s="226"/>
      <c r="KLE41" s="224"/>
      <c r="KLF41" s="225"/>
      <c r="KLG41" s="226"/>
      <c r="KLH41" s="227"/>
      <c r="KLI41" s="228"/>
      <c r="KLJ41" s="228"/>
      <c r="KLK41" s="228"/>
      <c r="KLL41" s="228"/>
      <c r="KLM41" s="228"/>
      <c r="KLN41" s="228"/>
      <c r="KLO41" s="226"/>
      <c r="KLP41" s="226"/>
      <c r="KLQ41" s="224"/>
      <c r="KLR41" s="225"/>
      <c r="KLS41" s="226"/>
      <c r="KLT41" s="227"/>
      <c r="KLU41" s="228"/>
      <c r="KLV41" s="228"/>
      <c r="KLW41" s="228"/>
      <c r="KLX41" s="228"/>
      <c r="KLY41" s="228"/>
      <c r="KLZ41" s="228"/>
      <c r="KMA41" s="226"/>
      <c r="KMB41" s="226"/>
      <c r="KMC41" s="224"/>
      <c r="KMD41" s="225"/>
      <c r="KME41" s="226"/>
      <c r="KMF41" s="227"/>
      <c r="KMG41" s="228"/>
      <c r="KMH41" s="228"/>
      <c r="KMI41" s="228"/>
      <c r="KMJ41" s="228"/>
      <c r="KMK41" s="228"/>
      <c r="KML41" s="228"/>
      <c r="KMM41" s="226"/>
      <c r="KMN41" s="226"/>
      <c r="KMO41" s="224"/>
      <c r="KMP41" s="225"/>
      <c r="KMQ41" s="226"/>
      <c r="KMR41" s="227"/>
      <c r="KMS41" s="228"/>
      <c r="KMT41" s="228"/>
      <c r="KMU41" s="228"/>
      <c r="KMV41" s="228"/>
      <c r="KMW41" s="228"/>
      <c r="KMX41" s="228"/>
      <c r="KMY41" s="226"/>
      <c r="KMZ41" s="226"/>
      <c r="KNA41" s="224"/>
      <c r="KNB41" s="225"/>
      <c r="KNC41" s="226"/>
      <c r="KND41" s="227"/>
      <c r="KNE41" s="228"/>
      <c r="KNF41" s="228"/>
      <c r="KNG41" s="228"/>
      <c r="KNH41" s="228"/>
      <c r="KNI41" s="228"/>
      <c r="KNJ41" s="228"/>
      <c r="KNK41" s="226"/>
      <c r="KNL41" s="226"/>
      <c r="KNM41" s="224"/>
      <c r="KNN41" s="225"/>
      <c r="KNO41" s="226"/>
      <c r="KNP41" s="227"/>
      <c r="KNQ41" s="228"/>
      <c r="KNR41" s="228"/>
      <c r="KNS41" s="228"/>
      <c r="KNT41" s="228"/>
      <c r="KNU41" s="228"/>
      <c r="KNV41" s="228"/>
      <c r="KNW41" s="226"/>
      <c r="KNX41" s="226"/>
      <c r="KNY41" s="224"/>
      <c r="KNZ41" s="225"/>
      <c r="KOA41" s="226"/>
      <c r="KOB41" s="227"/>
      <c r="KOC41" s="228"/>
      <c r="KOD41" s="228"/>
      <c r="KOE41" s="228"/>
      <c r="KOF41" s="228"/>
      <c r="KOG41" s="228"/>
      <c r="KOH41" s="228"/>
      <c r="KOI41" s="226"/>
      <c r="KOJ41" s="226"/>
      <c r="KOK41" s="224"/>
      <c r="KOL41" s="225"/>
      <c r="KOM41" s="226"/>
      <c r="KON41" s="227"/>
      <c r="KOO41" s="228"/>
      <c r="KOP41" s="228"/>
      <c r="KOQ41" s="228"/>
      <c r="KOR41" s="228"/>
      <c r="KOS41" s="228"/>
      <c r="KOT41" s="228"/>
      <c r="KOU41" s="226"/>
      <c r="KOV41" s="226"/>
      <c r="KOW41" s="224"/>
      <c r="KOX41" s="225"/>
      <c r="KOY41" s="226"/>
      <c r="KOZ41" s="227"/>
      <c r="KPA41" s="228"/>
      <c r="KPB41" s="228"/>
      <c r="KPC41" s="228"/>
      <c r="KPD41" s="228"/>
      <c r="KPE41" s="228"/>
      <c r="KPF41" s="228"/>
      <c r="KPG41" s="226"/>
      <c r="KPH41" s="226"/>
      <c r="KPI41" s="224"/>
      <c r="KPJ41" s="225"/>
      <c r="KPK41" s="226"/>
      <c r="KPL41" s="227"/>
      <c r="KPM41" s="228"/>
      <c r="KPN41" s="228"/>
      <c r="KPO41" s="228"/>
      <c r="KPP41" s="228"/>
      <c r="KPQ41" s="228"/>
      <c r="KPR41" s="228"/>
      <c r="KPS41" s="226"/>
      <c r="KPT41" s="226"/>
      <c r="KPU41" s="224"/>
      <c r="KPV41" s="225"/>
      <c r="KPW41" s="226"/>
      <c r="KPX41" s="227"/>
      <c r="KPY41" s="228"/>
      <c r="KPZ41" s="228"/>
      <c r="KQA41" s="228"/>
      <c r="KQB41" s="228"/>
      <c r="KQC41" s="228"/>
      <c r="KQD41" s="228"/>
      <c r="KQE41" s="226"/>
      <c r="KQF41" s="226"/>
      <c r="KQG41" s="224"/>
      <c r="KQH41" s="225"/>
      <c r="KQI41" s="226"/>
      <c r="KQJ41" s="227"/>
      <c r="KQK41" s="228"/>
      <c r="KQL41" s="228"/>
      <c r="KQM41" s="228"/>
      <c r="KQN41" s="228"/>
      <c r="KQO41" s="228"/>
      <c r="KQP41" s="228"/>
      <c r="KQQ41" s="226"/>
      <c r="KQR41" s="226"/>
      <c r="KQS41" s="224"/>
      <c r="KQT41" s="225"/>
      <c r="KQU41" s="226"/>
      <c r="KQV41" s="227"/>
      <c r="KQW41" s="228"/>
      <c r="KQX41" s="228"/>
      <c r="KQY41" s="228"/>
      <c r="KQZ41" s="228"/>
      <c r="KRA41" s="228"/>
      <c r="KRB41" s="228"/>
      <c r="KRC41" s="226"/>
      <c r="KRD41" s="226"/>
      <c r="KRE41" s="224"/>
      <c r="KRF41" s="225"/>
      <c r="KRG41" s="226"/>
      <c r="KRH41" s="227"/>
      <c r="KRI41" s="228"/>
      <c r="KRJ41" s="228"/>
      <c r="KRK41" s="228"/>
      <c r="KRL41" s="228"/>
      <c r="KRM41" s="228"/>
      <c r="KRN41" s="228"/>
      <c r="KRO41" s="226"/>
      <c r="KRP41" s="226"/>
      <c r="KRQ41" s="224"/>
      <c r="KRR41" s="225"/>
      <c r="KRS41" s="226"/>
      <c r="KRT41" s="227"/>
      <c r="KRU41" s="228"/>
      <c r="KRV41" s="228"/>
      <c r="KRW41" s="228"/>
      <c r="KRX41" s="228"/>
      <c r="KRY41" s="228"/>
      <c r="KRZ41" s="228"/>
      <c r="KSA41" s="226"/>
      <c r="KSB41" s="226"/>
      <c r="KSC41" s="224"/>
      <c r="KSD41" s="225"/>
      <c r="KSE41" s="226"/>
      <c r="KSF41" s="227"/>
      <c r="KSG41" s="228"/>
      <c r="KSH41" s="228"/>
      <c r="KSI41" s="228"/>
      <c r="KSJ41" s="228"/>
      <c r="KSK41" s="228"/>
      <c r="KSL41" s="228"/>
      <c r="KSM41" s="226"/>
      <c r="KSN41" s="226"/>
      <c r="KSO41" s="224"/>
      <c r="KSP41" s="225"/>
      <c r="KSQ41" s="226"/>
      <c r="KSR41" s="227"/>
      <c r="KSS41" s="228"/>
      <c r="KST41" s="228"/>
      <c r="KSU41" s="228"/>
      <c r="KSV41" s="228"/>
      <c r="KSW41" s="228"/>
      <c r="KSX41" s="228"/>
      <c r="KSY41" s="226"/>
      <c r="KSZ41" s="226"/>
      <c r="KTA41" s="224"/>
      <c r="KTB41" s="225"/>
      <c r="KTC41" s="226"/>
      <c r="KTD41" s="227"/>
      <c r="KTE41" s="228"/>
      <c r="KTF41" s="228"/>
      <c r="KTG41" s="228"/>
      <c r="KTH41" s="228"/>
      <c r="KTI41" s="228"/>
      <c r="KTJ41" s="228"/>
      <c r="KTK41" s="226"/>
      <c r="KTL41" s="226"/>
      <c r="KTM41" s="224"/>
      <c r="KTN41" s="225"/>
      <c r="KTO41" s="226"/>
      <c r="KTP41" s="227"/>
      <c r="KTQ41" s="228"/>
      <c r="KTR41" s="228"/>
      <c r="KTS41" s="228"/>
      <c r="KTT41" s="228"/>
      <c r="KTU41" s="228"/>
      <c r="KTV41" s="228"/>
      <c r="KTW41" s="226"/>
      <c r="KTX41" s="226"/>
      <c r="KTY41" s="224"/>
      <c r="KTZ41" s="225"/>
      <c r="KUA41" s="226"/>
      <c r="KUB41" s="227"/>
      <c r="KUC41" s="228"/>
      <c r="KUD41" s="228"/>
      <c r="KUE41" s="228"/>
      <c r="KUF41" s="228"/>
      <c r="KUG41" s="228"/>
      <c r="KUH41" s="228"/>
      <c r="KUI41" s="226"/>
      <c r="KUJ41" s="226"/>
      <c r="KUK41" s="224"/>
      <c r="KUL41" s="225"/>
      <c r="KUM41" s="226"/>
      <c r="KUN41" s="227"/>
      <c r="KUO41" s="228"/>
      <c r="KUP41" s="228"/>
      <c r="KUQ41" s="228"/>
      <c r="KUR41" s="228"/>
      <c r="KUS41" s="228"/>
      <c r="KUT41" s="228"/>
      <c r="KUU41" s="226"/>
      <c r="KUV41" s="226"/>
      <c r="KUW41" s="224"/>
      <c r="KUX41" s="225"/>
      <c r="KUY41" s="226"/>
      <c r="KUZ41" s="227"/>
      <c r="KVA41" s="228"/>
      <c r="KVB41" s="228"/>
      <c r="KVC41" s="228"/>
      <c r="KVD41" s="228"/>
      <c r="KVE41" s="228"/>
      <c r="KVF41" s="228"/>
      <c r="KVG41" s="226"/>
      <c r="KVH41" s="226"/>
      <c r="KVI41" s="224"/>
      <c r="KVJ41" s="225"/>
      <c r="KVK41" s="226"/>
      <c r="KVL41" s="227"/>
      <c r="KVM41" s="228"/>
      <c r="KVN41" s="228"/>
      <c r="KVO41" s="228"/>
      <c r="KVP41" s="228"/>
      <c r="KVQ41" s="228"/>
      <c r="KVR41" s="228"/>
      <c r="KVS41" s="226"/>
      <c r="KVT41" s="226"/>
      <c r="KVU41" s="224"/>
      <c r="KVV41" s="225"/>
      <c r="KVW41" s="226"/>
      <c r="KVX41" s="227"/>
      <c r="KVY41" s="228"/>
      <c r="KVZ41" s="228"/>
      <c r="KWA41" s="228"/>
      <c r="KWB41" s="228"/>
      <c r="KWC41" s="228"/>
      <c r="KWD41" s="228"/>
      <c r="KWE41" s="226"/>
      <c r="KWF41" s="226"/>
      <c r="KWG41" s="224"/>
      <c r="KWH41" s="225"/>
      <c r="KWI41" s="226"/>
      <c r="KWJ41" s="227"/>
      <c r="KWK41" s="228"/>
      <c r="KWL41" s="228"/>
      <c r="KWM41" s="228"/>
      <c r="KWN41" s="228"/>
      <c r="KWO41" s="228"/>
      <c r="KWP41" s="228"/>
      <c r="KWQ41" s="226"/>
      <c r="KWR41" s="226"/>
      <c r="KWS41" s="224"/>
      <c r="KWT41" s="225"/>
      <c r="KWU41" s="226"/>
      <c r="KWV41" s="227"/>
      <c r="KWW41" s="228"/>
      <c r="KWX41" s="228"/>
      <c r="KWY41" s="228"/>
      <c r="KWZ41" s="228"/>
      <c r="KXA41" s="228"/>
      <c r="KXB41" s="228"/>
      <c r="KXC41" s="226"/>
      <c r="KXD41" s="226"/>
      <c r="KXE41" s="224"/>
      <c r="KXF41" s="225"/>
      <c r="KXG41" s="226"/>
      <c r="KXH41" s="227"/>
      <c r="KXI41" s="228"/>
      <c r="KXJ41" s="228"/>
      <c r="KXK41" s="228"/>
      <c r="KXL41" s="228"/>
      <c r="KXM41" s="228"/>
      <c r="KXN41" s="228"/>
      <c r="KXO41" s="226"/>
      <c r="KXP41" s="226"/>
      <c r="KXQ41" s="224"/>
      <c r="KXR41" s="225"/>
      <c r="KXS41" s="226"/>
      <c r="KXT41" s="227"/>
      <c r="KXU41" s="228"/>
      <c r="KXV41" s="228"/>
      <c r="KXW41" s="228"/>
      <c r="KXX41" s="228"/>
      <c r="KXY41" s="228"/>
      <c r="KXZ41" s="228"/>
      <c r="KYA41" s="226"/>
      <c r="KYB41" s="226"/>
      <c r="KYC41" s="224"/>
      <c r="KYD41" s="225"/>
      <c r="KYE41" s="226"/>
      <c r="KYF41" s="227"/>
      <c r="KYG41" s="228"/>
      <c r="KYH41" s="228"/>
      <c r="KYI41" s="228"/>
      <c r="KYJ41" s="228"/>
      <c r="KYK41" s="228"/>
      <c r="KYL41" s="228"/>
      <c r="KYM41" s="226"/>
      <c r="KYN41" s="226"/>
      <c r="KYO41" s="224"/>
      <c r="KYP41" s="225"/>
      <c r="KYQ41" s="226"/>
      <c r="KYR41" s="227"/>
      <c r="KYS41" s="228"/>
      <c r="KYT41" s="228"/>
      <c r="KYU41" s="228"/>
      <c r="KYV41" s="228"/>
      <c r="KYW41" s="228"/>
      <c r="KYX41" s="228"/>
      <c r="KYY41" s="226"/>
      <c r="KYZ41" s="226"/>
      <c r="KZA41" s="224"/>
      <c r="KZB41" s="225"/>
      <c r="KZC41" s="226"/>
      <c r="KZD41" s="227"/>
      <c r="KZE41" s="228"/>
      <c r="KZF41" s="228"/>
      <c r="KZG41" s="228"/>
      <c r="KZH41" s="228"/>
      <c r="KZI41" s="228"/>
      <c r="KZJ41" s="228"/>
      <c r="KZK41" s="226"/>
      <c r="KZL41" s="226"/>
      <c r="KZM41" s="224"/>
      <c r="KZN41" s="225"/>
      <c r="KZO41" s="226"/>
      <c r="KZP41" s="227"/>
      <c r="KZQ41" s="228"/>
      <c r="KZR41" s="228"/>
      <c r="KZS41" s="228"/>
      <c r="KZT41" s="228"/>
      <c r="KZU41" s="228"/>
      <c r="KZV41" s="228"/>
      <c r="KZW41" s="226"/>
      <c r="KZX41" s="226"/>
      <c r="KZY41" s="224"/>
      <c r="KZZ41" s="225"/>
      <c r="LAA41" s="226"/>
      <c r="LAB41" s="227"/>
      <c r="LAC41" s="228"/>
      <c r="LAD41" s="228"/>
      <c r="LAE41" s="228"/>
      <c r="LAF41" s="228"/>
      <c r="LAG41" s="228"/>
      <c r="LAH41" s="228"/>
      <c r="LAI41" s="226"/>
      <c r="LAJ41" s="226"/>
      <c r="LAK41" s="224"/>
      <c r="LAL41" s="225"/>
      <c r="LAM41" s="226"/>
      <c r="LAN41" s="227"/>
      <c r="LAO41" s="228"/>
      <c r="LAP41" s="228"/>
      <c r="LAQ41" s="228"/>
      <c r="LAR41" s="228"/>
      <c r="LAS41" s="228"/>
      <c r="LAT41" s="228"/>
      <c r="LAU41" s="226"/>
      <c r="LAV41" s="226"/>
      <c r="LAW41" s="224"/>
      <c r="LAX41" s="225"/>
      <c r="LAY41" s="226"/>
      <c r="LAZ41" s="227"/>
      <c r="LBA41" s="228"/>
      <c r="LBB41" s="228"/>
      <c r="LBC41" s="228"/>
      <c r="LBD41" s="228"/>
      <c r="LBE41" s="228"/>
      <c r="LBF41" s="228"/>
      <c r="LBG41" s="226"/>
      <c r="LBH41" s="226"/>
      <c r="LBI41" s="224"/>
      <c r="LBJ41" s="225"/>
      <c r="LBK41" s="226"/>
      <c r="LBL41" s="227"/>
      <c r="LBM41" s="228"/>
      <c r="LBN41" s="228"/>
      <c r="LBO41" s="228"/>
      <c r="LBP41" s="228"/>
      <c r="LBQ41" s="228"/>
      <c r="LBR41" s="228"/>
      <c r="LBS41" s="226"/>
      <c r="LBT41" s="226"/>
      <c r="LBU41" s="224"/>
      <c r="LBV41" s="225"/>
      <c r="LBW41" s="226"/>
      <c r="LBX41" s="227"/>
      <c r="LBY41" s="228"/>
      <c r="LBZ41" s="228"/>
      <c r="LCA41" s="228"/>
      <c r="LCB41" s="228"/>
      <c r="LCC41" s="228"/>
      <c r="LCD41" s="228"/>
      <c r="LCE41" s="226"/>
      <c r="LCF41" s="226"/>
      <c r="LCG41" s="224"/>
      <c r="LCH41" s="225"/>
      <c r="LCI41" s="226"/>
      <c r="LCJ41" s="227"/>
      <c r="LCK41" s="228"/>
      <c r="LCL41" s="228"/>
      <c r="LCM41" s="228"/>
      <c r="LCN41" s="228"/>
      <c r="LCO41" s="228"/>
      <c r="LCP41" s="228"/>
      <c r="LCQ41" s="226"/>
      <c r="LCR41" s="226"/>
      <c r="LCS41" s="224"/>
      <c r="LCT41" s="225"/>
      <c r="LCU41" s="226"/>
      <c r="LCV41" s="227"/>
      <c r="LCW41" s="228"/>
      <c r="LCX41" s="228"/>
      <c r="LCY41" s="228"/>
      <c r="LCZ41" s="228"/>
      <c r="LDA41" s="228"/>
      <c r="LDB41" s="228"/>
      <c r="LDC41" s="226"/>
      <c r="LDD41" s="226"/>
      <c r="LDE41" s="224"/>
      <c r="LDF41" s="225"/>
      <c r="LDG41" s="226"/>
      <c r="LDH41" s="227"/>
      <c r="LDI41" s="228"/>
      <c r="LDJ41" s="228"/>
      <c r="LDK41" s="228"/>
      <c r="LDL41" s="228"/>
      <c r="LDM41" s="228"/>
      <c r="LDN41" s="228"/>
      <c r="LDO41" s="226"/>
      <c r="LDP41" s="226"/>
      <c r="LDQ41" s="224"/>
      <c r="LDR41" s="225"/>
      <c r="LDS41" s="226"/>
      <c r="LDT41" s="227"/>
      <c r="LDU41" s="228"/>
      <c r="LDV41" s="228"/>
      <c r="LDW41" s="228"/>
      <c r="LDX41" s="228"/>
      <c r="LDY41" s="228"/>
      <c r="LDZ41" s="228"/>
      <c r="LEA41" s="226"/>
      <c r="LEB41" s="226"/>
      <c r="LEC41" s="224"/>
      <c r="LED41" s="225"/>
      <c r="LEE41" s="226"/>
      <c r="LEF41" s="227"/>
      <c r="LEG41" s="228"/>
      <c r="LEH41" s="228"/>
      <c r="LEI41" s="228"/>
      <c r="LEJ41" s="228"/>
      <c r="LEK41" s="228"/>
      <c r="LEL41" s="228"/>
      <c r="LEM41" s="226"/>
      <c r="LEN41" s="226"/>
      <c r="LEO41" s="224"/>
      <c r="LEP41" s="225"/>
      <c r="LEQ41" s="226"/>
      <c r="LER41" s="227"/>
      <c r="LES41" s="228"/>
      <c r="LET41" s="228"/>
      <c r="LEU41" s="228"/>
      <c r="LEV41" s="228"/>
      <c r="LEW41" s="228"/>
      <c r="LEX41" s="228"/>
      <c r="LEY41" s="226"/>
      <c r="LEZ41" s="226"/>
      <c r="LFA41" s="224"/>
      <c r="LFB41" s="225"/>
      <c r="LFC41" s="226"/>
      <c r="LFD41" s="227"/>
      <c r="LFE41" s="228"/>
      <c r="LFF41" s="228"/>
      <c r="LFG41" s="228"/>
      <c r="LFH41" s="228"/>
      <c r="LFI41" s="228"/>
      <c r="LFJ41" s="228"/>
      <c r="LFK41" s="226"/>
      <c r="LFL41" s="226"/>
      <c r="LFM41" s="224"/>
      <c r="LFN41" s="225"/>
      <c r="LFO41" s="226"/>
      <c r="LFP41" s="227"/>
      <c r="LFQ41" s="228"/>
      <c r="LFR41" s="228"/>
      <c r="LFS41" s="228"/>
      <c r="LFT41" s="228"/>
      <c r="LFU41" s="228"/>
      <c r="LFV41" s="228"/>
      <c r="LFW41" s="226"/>
      <c r="LFX41" s="226"/>
      <c r="LFY41" s="224"/>
      <c r="LFZ41" s="225"/>
      <c r="LGA41" s="226"/>
      <c r="LGB41" s="227"/>
      <c r="LGC41" s="228"/>
      <c r="LGD41" s="228"/>
      <c r="LGE41" s="228"/>
      <c r="LGF41" s="228"/>
      <c r="LGG41" s="228"/>
      <c r="LGH41" s="228"/>
      <c r="LGI41" s="226"/>
      <c r="LGJ41" s="226"/>
      <c r="LGK41" s="224"/>
      <c r="LGL41" s="225"/>
      <c r="LGM41" s="226"/>
      <c r="LGN41" s="227"/>
      <c r="LGO41" s="228"/>
      <c r="LGP41" s="228"/>
      <c r="LGQ41" s="228"/>
      <c r="LGR41" s="228"/>
      <c r="LGS41" s="228"/>
      <c r="LGT41" s="228"/>
      <c r="LGU41" s="226"/>
      <c r="LGV41" s="226"/>
      <c r="LGW41" s="224"/>
      <c r="LGX41" s="225"/>
      <c r="LGY41" s="226"/>
      <c r="LGZ41" s="227"/>
      <c r="LHA41" s="228"/>
      <c r="LHB41" s="228"/>
      <c r="LHC41" s="228"/>
      <c r="LHD41" s="228"/>
      <c r="LHE41" s="228"/>
      <c r="LHF41" s="228"/>
      <c r="LHG41" s="226"/>
      <c r="LHH41" s="226"/>
      <c r="LHI41" s="224"/>
      <c r="LHJ41" s="225"/>
      <c r="LHK41" s="226"/>
      <c r="LHL41" s="227"/>
      <c r="LHM41" s="228"/>
      <c r="LHN41" s="228"/>
      <c r="LHO41" s="228"/>
      <c r="LHP41" s="228"/>
      <c r="LHQ41" s="228"/>
      <c r="LHR41" s="228"/>
      <c r="LHS41" s="226"/>
      <c r="LHT41" s="226"/>
      <c r="LHU41" s="224"/>
      <c r="LHV41" s="225"/>
      <c r="LHW41" s="226"/>
      <c r="LHX41" s="227"/>
      <c r="LHY41" s="228"/>
      <c r="LHZ41" s="228"/>
      <c r="LIA41" s="228"/>
      <c r="LIB41" s="228"/>
      <c r="LIC41" s="228"/>
      <c r="LID41" s="228"/>
      <c r="LIE41" s="226"/>
      <c r="LIF41" s="226"/>
      <c r="LIG41" s="224"/>
      <c r="LIH41" s="225"/>
      <c r="LII41" s="226"/>
      <c r="LIJ41" s="227"/>
      <c r="LIK41" s="228"/>
      <c r="LIL41" s="228"/>
      <c r="LIM41" s="228"/>
      <c r="LIN41" s="228"/>
      <c r="LIO41" s="228"/>
      <c r="LIP41" s="228"/>
      <c r="LIQ41" s="226"/>
      <c r="LIR41" s="226"/>
      <c r="LIS41" s="224"/>
      <c r="LIT41" s="225"/>
      <c r="LIU41" s="226"/>
      <c r="LIV41" s="227"/>
      <c r="LIW41" s="228"/>
      <c r="LIX41" s="228"/>
      <c r="LIY41" s="228"/>
      <c r="LIZ41" s="228"/>
      <c r="LJA41" s="228"/>
      <c r="LJB41" s="228"/>
      <c r="LJC41" s="226"/>
      <c r="LJD41" s="226"/>
      <c r="LJE41" s="224"/>
      <c r="LJF41" s="225"/>
      <c r="LJG41" s="226"/>
      <c r="LJH41" s="227"/>
      <c r="LJI41" s="228"/>
      <c r="LJJ41" s="228"/>
      <c r="LJK41" s="228"/>
      <c r="LJL41" s="228"/>
      <c r="LJM41" s="228"/>
      <c r="LJN41" s="228"/>
      <c r="LJO41" s="226"/>
      <c r="LJP41" s="226"/>
      <c r="LJQ41" s="224"/>
      <c r="LJR41" s="225"/>
      <c r="LJS41" s="226"/>
      <c r="LJT41" s="227"/>
      <c r="LJU41" s="228"/>
      <c r="LJV41" s="228"/>
      <c r="LJW41" s="228"/>
      <c r="LJX41" s="228"/>
      <c r="LJY41" s="228"/>
      <c r="LJZ41" s="228"/>
      <c r="LKA41" s="226"/>
      <c r="LKB41" s="226"/>
      <c r="LKC41" s="224"/>
      <c r="LKD41" s="225"/>
      <c r="LKE41" s="226"/>
      <c r="LKF41" s="227"/>
      <c r="LKG41" s="228"/>
      <c r="LKH41" s="228"/>
      <c r="LKI41" s="228"/>
      <c r="LKJ41" s="228"/>
      <c r="LKK41" s="228"/>
      <c r="LKL41" s="228"/>
      <c r="LKM41" s="226"/>
      <c r="LKN41" s="226"/>
      <c r="LKO41" s="224"/>
      <c r="LKP41" s="225"/>
      <c r="LKQ41" s="226"/>
      <c r="LKR41" s="227"/>
      <c r="LKS41" s="228"/>
      <c r="LKT41" s="228"/>
      <c r="LKU41" s="228"/>
      <c r="LKV41" s="228"/>
      <c r="LKW41" s="228"/>
      <c r="LKX41" s="228"/>
      <c r="LKY41" s="226"/>
      <c r="LKZ41" s="226"/>
      <c r="LLA41" s="224"/>
      <c r="LLB41" s="225"/>
      <c r="LLC41" s="226"/>
      <c r="LLD41" s="227"/>
      <c r="LLE41" s="228"/>
      <c r="LLF41" s="228"/>
      <c r="LLG41" s="228"/>
      <c r="LLH41" s="228"/>
      <c r="LLI41" s="228"/>
      <c r="LLJ41" s="228"/>
      <c r="LLK41" s="226"/>
      <c r="LLL41" s="226"/>
      <c r="LLM41" s="224"/>
      <c r="LLN41" s="225"/>
      <c r="LLO41" s="226"/>
      <c r="LLP41" s="227"/>
      <c r="LLQ41" s="228"/>
      <c r="LLR41" s="228"/>
      <c r="LLS41" s="228"/>
      <c r="LLT41" s="228"/>
      <c r="LLU41" s="228"/>
      <c r="LLV41" s="228"/>
      <c r="LLW41" s="226"/>
      <c r="LLX41" s="226"/>
      <c r="LLY41" s="224"/>
      <c r="LLZ41" s="225"/>
      <c r="LMA41" s="226"/>
      <c r="LMB41" s="227"/>
      <c r="LMC41" s="228"/>
      <c r="LMD41" s="228"/>
      <c r="LME41" s="228"/>
      <c r="LMF41" s="228"/>
      <c r="LMG41" s="228"/>
      <c r="LMH41" s="228"/>
      <c r="LMI41" s="226"/>
      <c r="LMJ41" s="226"/>
      <c r="LMK41" s="224"/>
      <c r="LML41" s="225"/>
      <c r="LMM41" s="226"/>
      <c r="LMN41" s="227"/>
      <c r="LMO41" s="228"/>
      <c r="LMP41" s="228"/>
      <c r="LMQ41" s="228"/>
      <c r="LMR41" s="228"/>
      <c r="LMS41" s="228"/>
      <c r="LMT41" s="228"/>
      <c r="LMU41" s="226"/>
      <c r="LMV41" s="226"/>
      <c r="LMW41" s="224"/>
      <c r="LMX41" s="225"/>
      <c r="LMY41" s="226"/>
      <c r="LMZ41" s="227"/>
      <c r="LNA41" s="228"/>
      <c r="LNB41" s="228"/>
      <c r="LNC41" s="228"/>
      <c r="LND41" s="228"/>
      <c r="LNE41" s="228"/>
      <c r="LNF41" s="228"/>
      <c r="LNG41" s="226"/>
      <c r="LNH41" s="226"/>
      <c r="LNI41" s="224"/>
      <c r="LNJ41" s="225"/>
      <c r="LNK41" s="226"/>
      <c r="LNL41" s="227"/>
      <c r="LNM41" s="228"/>
      <c r="LNN41" s="228"/>
      <c r="LNO41" s="228"/>
      <c r="LNP41" s="228"/>
      <c r="LNQ41" s="228"/>
      <c r="LNR41" s="228"/>
      <c r="LNS41" s="226"/>
      <c r="LNT41" s="226"/>
      <c r="LNU41" s="224"/>
      <c r="LNV41" s="225"/>
      <c r="LNW41" s="226"/>
      <c r="LNX41" s="227"/>
      <c r="LNY41" s="228"/>
      <c r="LNZ41" s="228"/>
      <c r="LOA41" s="228"/>
      <c r="LOB41" s="228"/>
      <c r="LOC41" s="228"/>
      <c r="LOD41" s="228"/>
      <c r="LOE41" s="226"/>
      <c r="LOF41" s="226"/>
      <c r="LOG41" s="224"/>
      <c r="LOH41" s="225"/>
      <c r="LOI41" s="226"/>
      <c r="LOJ41" s="227"/>
      <c r="LOK41" s="228"/>
      <c r="LOL41" s="228"/>
      <c r="LOM41" s="228"/>
      <c r="LON41" s="228"/>
      <c r="LOO41" s="228"/>
      <c r="LOP41" s="228"/>
      <c r="LOQ41" s="226"/>
      <c r="LOR41" s="226"/>
      <c r="LOS41" s="224"/>
      <c r="LOT41" s="225"/>
      <c r="LOU41" s="226"/>
      <c r="LOV41" s="227"/>
      <c r="LOW41" s="228"/>
      <c r="LOX41" s="228"/>
      <c r="LOY41" s="228"/>
      <c r="LOZ41" s="228"/>
      <c r="LPA41" s="228"/>
      <c r="LPB41" s="228"/>
      <c r="LPC41" s="226"/>
      <c r="LPD41" s="226"/>
      <c r="LPE41" s="224"/>
      <c r="LPF41" s="225"/>
      <c r="LPG41" s="226"/>
      <c r="LPH41" s="227"/>
      <c r="LPI41" s="228"/>
      <c r="LPJ41" s="228"/>
      <c r="LPK41" s="228"/>
      <c r="LPL41" s="228"/>
      <c r="LPM41" s="228"/>
      <c r="LPN41" s="228"/>
      <c r="LPO41" s="226"/>
      <c r="LPP41" s="226"/>
      <c r="LPQ41" s="224"/>
      <c r="LPR41" s="225"/>
      <c r="LPS41" s="226"/>
      <c r="LPT41" s="227"/>
      <c r="LPU41" s="228"/>
      <c r="LPV41" s="228"/>
      <c r="LPW41" s="228"/>
      <c r="LPX41" s="228"/>
      <c r="LPY41" s="228"/>
      <c r="LPZ41" s="228"/>
      <c r="LQA41" s="226"/>
      <c r="LQB41" s="226"/>
      <c r="LQC41" s="224"/>
      <c r="LQD41" s="225"/>
      <c r="LQE41" s="226"/>
      <c r="LQF41" s="227"/>
      <c r="LQG41" s="228"/>
      <c r="LQH41" s="228"/>
      <c r="LQI41" s="228"/>
      <c r="LQJ41" s="228"/>
      <c r="LQK41" s="228"/>
      <c r="LQL41" s="228"/>
      <c r="LQM41" s="226"/>
      <c r="LQN41" s="226"/>
      <c r="LQO41" s="224"/>
      <c r="LQP41" s="225"/>
      <c r="LQQ41" s="226"/>
      <c r="LQR41" s="227"/>
      <c r="LQS41" s="228"/>
      <c r="LQT41" s="228"/>
      <c r="LQU41" s="228"/>
      <c r="LQV41" s="228"/>
      <c r="LQW41" s="228"/>
      <c r="LQX41" s="228"/>
      <c r="LQY41" s="226"/>
      <c r="LQZ41" s="226"/>
      <c r="LRA41" s="224"/>
      <c r="LRB41" s="225"/>
      <c r="LRC41" s="226"/>
      <c r="LRD41" s="227"/>
      <c r="LRE41" s="228"/>
      <c r="LRF41" s="228"/>
      <c r="LRG41" s="228"/>
      <c r="LRH41" s="228"/>
      <c r="LRI41" s="228"/>
      <c r="LRJ41" s="228"/>
      <c r="LRK41" s="226"/>
      <c r="LRL41" s="226"/>
      <c r="LRM41" s="224"/>
      <c r="LRN41" s="225"/>
      <c r="LRO41" s="226"/>
      <c r="LRP41" s="227"/>
      <c r="LRQ41" s="228"/>
      <c r="LRR41" s="228"/>
      <c r="LRS41" s="228"/>
      <c r="LRT41" s="228"/>
      <c r="LRU41" s="228"/>
      <c r="LRV41" s="228"/>
      <c r="LRW41" s="226"/>
      <c r="LRX41" s="226"/>
      <c r="LRY41" s="224"/>
      <c r="LRZ41" s="225"/>
      <c r="LSA41" s="226"/>
      <c r="LSB41" s="227"/>
      <c r="LSC41" s="228"/>
      <c r="LSD41" s="228"/>
      <c r="LSE41" s="228"/>
      <c r="LSF41" s="228"/>
      <c r="LSG41" s="228"/>
      <c r="LSH41" s="228"/>
      <c r="LSI41" s="226"/>
      <c r="LSJ41" s="226"/>
      <c r="LSK41" s="224"/>
      <c r="LSL41" s="225"/>
      <c r="LSM41" s="226"/>
      <c r="LSN41" s="227"/>
      <c r="LSO41" s="228"/>
      <c r="LSP41" s="228"/>
      <c r="LSQ41" s="228"/>
      <c r="LSR41" s="228"/>
      <c r="LSS41" s="228"/>
      <c r="LST41" s="228"/>
      <c r="LSU41" s="226"/>
      <c r="LSV41" s="226"/>
      <c r="LSW41" s="224"/>
      <c r="LSX41" s="225"/>
      <c r="LSY41" s="226"/>
      <c r="LSZ41" s="227"/>
      <c r="LTA41" s="228"/>
      <c r="LTB41" s="228"/>
      <c r="LTC41" s="228"/>
      <c r="LTD41" s="228"/>
      <c r="LTE41" s="228"/>
      <c r="LTF41" s="228"/>
      <c r="LTG41" s="226"/>
      <c r="LTH41" s="226"/>
      <c r="LTI41" s="224"/>
      <c r="LTJ41" s="225"/>
      <c r="LTK41" s="226"/>
      <c r="LTL41" s="227"/>
      <c r="LTM41" s="228"/>
      <c r="LTN41" s="228"/>
      <c r="LTO41" s="228"/>
      <c r="LTP41" s="228"/>
      <c r="LTQ41" s="228"/>
      <c r="LTR41" s="228"/>
      <c r="LTS41" s="226"/>
      <c r="LTT41" s="226"/>
      <c r="LTU41" s="224"/>
      <c r="LTV41" s="225"/>
      <c r="LTW41" s="226"/>
      <c r="LTX41" s="227"/>
      <c r="LTY41" s="228"/>
      <c r="LTZ41" s="228"/>
      <c r="LUA41" s="228"/>
      <c r="LUB41" s="228"/>
      <c r="LUC41" s="228"/>
      <c r="LUD41" s="228"/>
      <c r="LUE41" s="226"/>
      <c r="LUF41" s="226"/>
      <c r="LUG41" s="224"/>
      <c r="LUH41" s="225"/>
      <c r="LUI41" s="226"/>
      <c r="LUJ41" s="227"/>
      <c r="LUK41" s="228"/>
      <c r="LUL41" s="228"/>
      <c r="LUM41" s="228"/>
      <c r="LUN41" s="228"/>
      <c r="LUO41" s="228"/>
      <c r="LUP41" s="228"/>
      <c r="LUQ41" s="226"/>
      <c r="LUR41" s="226"/>
      <c r="LUS41" s="224"/>
      <c r="LUT41" s="225"/>
      <c r="LUU41" s="226"/>
      <c r="LUV41" s="227"/>
      <c r="LUW41" s="228"/>
      <c r="LUX41" s="228"/>
      <c r="LUY41" s="228"/>
      <c r="LUZ41" s="228"/>
      <c r="LVA41" s="228"/>
      <c r="LVB41" s="228"/>
      <c r="LVC41" s="226"/>
      <c r="LVD41" s="226"/>
      <c r="LVE41" s="224"/>
      <c r="LVF41" s="225"/>
      <c r="LVG41" s="226"/>
      <c r="LVH41" s="227"/>
      <c r="LVI41" s="228"/>
      <c r="LVJ41" s="228"/>
      <c r="LVK41" s="228"/>
      <c r="LVL41" s="228"/>
      <c r="LVM41" s="228"/>
      <c r="LVN41" s="228"/>
      <c r="LVO41" s="226"/>
      <c r="LVP41" s="226"/>
      <c r="LVQ41" s="224"/>
      <c r="LVR41" s="225"/>
      <c r="LVS41" s="226"/>
      <c r="LVT41" s="227"/>
      <c r="LVU41" s="228"/>
      <c r="LVV41" s="228"/>
      <c r="LVW41" s="228"/>
      <c r="LVX41" s="228"/>
      <c r="LVY41" s="228"/>
      <c r="LVZ41" s="228"/>
      <c r="LWA41" s="226"/>
      <c r="LWB41" s="226"/>
      <c r="LWC41" s="224"/>
      <c r="LWD41" s="225"/>
      <c r="LWE41" s="226"/>
      <c r="LWF41" s="227"/>
      <c r="LWG41" s="228"/>
      <c r="LWH41" s="228"/>
      <c r="LWI41" s="228"/>
      <c r="LWJ41" s="228"/>
      <c r="LWK41" s="228"/>
      <c r="LWL41" s="228"/>
      <c r="LWM41" s="226"/>
      <c r="LWN41" s="226"/>
      <c r="LWO41" s="224"/>
      <c r="LWP41" s="225"/>
      <c r="LWQ41" s="226"/>
      <c r="LWR41" s="227"/>
      <c r="LWS41" s="228"/>
      <c r="LWT41" s="228"/>
      <c r="LWU41" s="228"/>
      <c r="LWV41" s="228"/>
      <c r="LWW41" s="228"/>
      <c r="LWX41" s="228"/>
      <c r="LWY41" s="226"/>
      <c r="LWZ41" s="226"/>
      <c r="LXA41" s="224"/>
      <c r="LXB41" s="225"/>
      <c r="LXC41" s="226"/>
      <c r="LXD41" s="227"/>
      <c r="LXE41" s="228"/>
      <c r="LXF41" s="228"/>
      <c r="LXG41" s="228"/>
      <c r="LXH41" s="228"/>
      <c r="LXI41" s="228"/>
      <c r="LXJ41" s="228"/>
      <c r="LXK41" s="226"/>
      <c r="LXL41" s="226"/>
      <c r="LXM41" s="224"/>
      <c r="LXN41" s="225"/>
      <c r="LXO41" s="226"/>
      <c r="LXP41" s="227"/>
      <c r="LXQ41" s="228"/>
      <c r="LXR41" s="228"/>
      <c r="LXS41" s="228"/>
      <c r="LXT41" s="228"/>
      <c r="LXU41" s="228"/>
      <c r="LXV41" s="228"/>
      <c r="LXW41" s="226"/>
      <c r="LXX41" s="226"/>
      <c r="LXY41" s="224"/>
      <c r="LXZ41" s="225"/>
      <c r="LYA41" s="226"/>
      <c r="LYB41" s="227"/>
      <c r="LYC41" s="228"/>
      <c r="LYD41" s="228"/>
      <c r="LYE41" s="228"/>
      <c r="LYF41" s="228"/>
      <c r="LYG41" s="228"/>
      <c r="LYH41" s="228"/>
      <c r="LYI41" s="226"/>
      <c r="LYJ41" s="226"/>
      <c r="LYK41" s="224"/>
      <c r="LYL41" s="225"/>
      <c r="LYM41" s="226"/>
      <c r="LYN41" s="227"/>
      <c r="LYO41" s="228"/>
      <c r="LYP41" s="228"/>
      <c r="LYQ41" s="228"/>
      <c r="LYR41" s="228"/>
      <c r="LYS41" s="228"/>
      <c r="LYT41" s="228"/>
      <c r="LYU41" s="226"/>
      <c r="LYV41" s="226"/>
      <c r="LYW41" s="224"/>
      <c r="LYX41" s="225"/>
      <c r="LYY41" s="226"/>
      <c r="LYZ41" s="227"/>
      <c r="LZA41" s="228"/>
      <c r="LZB41" s="228"/>
      <c r="LZC41" s="228"/>
      <c r="LZD41" s="228"/>
      <c r="LZE41" s="228"/>
      <c r="LZF41" s="228"/>
      <c r="LZG41" s="226"/>
      <c r="LZH41" s="226"/>
      <c r="LZI41" s="224"/>
      <c r="LZJ41" s="225"/>
      <c r="LZK41" s="226"/>
      <c r="LZL41" s="227"/>
      <c r="LZM41" s="228"/>
      <c r="LZN41" s="228"/>
      <c r="LZO41" s="228"/>
      <c r="LZP41" s="228"/>
      <c r="LZQ41" s="228"/>
      <c r="LZR41" s="228"/>
      <c r="LZS41" s="226"/>
      <c r="LZT41" s="226"/>
      <c r="LZU41" s="224"/>
      <c r="LZV41" s="225"/>
      <c r="LZW41" s="226"/>
      <c r="LZX41" s="227"/>
      <c r="LZY41" s="228"/>
      <c r="LZZ41" s="228"/>
      <c r="MAA41" s="228"/>
      <c r="MAB41" s="228"/>
      <c r="MAC41" s="228"/>
      <c r="MAD41" s="228"/>
      <c r="MAE41" s="226"/>
      <c r="MAF41" s="226"/>
      <c r="MAG41" s="224"/>
      <c r="MAH41" s="225"/>
      <c r="MAI41" s="226"/>
      <c r="MAJ41" s="227"/>
      <c r="MAK41" s="228"/>
      <c r="MAL41" s="228"/>
      <c r="MAM41" s="228"/>
      <c r="MAN41" s="228"/>
      <c r="MAO41" s="228"/>
      <c r="MAP41" s="228"/>
      <c r="MAQ41" s="226"/>
      <c r="MAR41" s="226"/>
      <c r="MAS41" s="224"/>
      <c r="MAT41" s="225"/>
      <c r="MAU41" s="226"/>
      <c r="MAV41" s="227"/>
      <c r="MAW41" s="228"/>
      <c r="MAX41" s="228"/>
      <c r="MAY41" s="228"/>
      <c r="MAZ41" s="228"/>
      <c r="MBA41" s="228"/>
      <c r="MBB41" s="228"/>
      <c r="MBC41" s="226"/>
      <c r="MBD41" s="226"/>
      <c r="MBE41" s="224"/>
      <c r="MBF41" s="225"/>
      <c r="MBG41" s="226"/>
      <c r="MBH41" s="227"/>
      <c r="MBI41" s="228"/>
      <c r="MBJ41" s="228"/>
      <c r="MBK41" s="228"/>
      <c r="MBL41" s="228"/>
      <c r="MBM41" s="228"/>
      <c r="MBN41" s="228"/>
      <c r="MBO41" s="226"/>
      <c r="MBP41" s="226"/>
      <c r="MBQ41" s="224"/>
      <c r="MBR41" s="225"/>
      <c r="MBS41" s="226"/>
      <c r="MBT41" s="227"/>
      <c r="MBU41" s="228"/>
      <c r="MBV41" s="228"/>
      <c r="MBW41" s="228"/>
      <c r="MBX41" s="228"/>
      <c r="MBY41" s="228"/>
      <c r="MBZ41" s="228"/>
      <c r="MCA41" s="226"/>
      <c r="MCB41" s="226"/>
      <c r="MCC41" s="224"/>
      <c r="MCD41" s="225"/>
      <c r="MCE41" s="226"/>
      <c r="MCF41" s="227"/>
      <c r="MCG41" s="228"/>
      <c r="MCH41" s="228"/>
      <c r="MCI41" s="228"/>
      <c r="MCJ41" s="228"/>
      <c r="MCK41" s="228"/>
      <c r="MCL41" s="228"/>
      <c r="MCM41" s="226"/>
      <c r="MCN41" s="226"/>
      <c r="MCO41" s="224"/>
      <c r="MCP41" s="225"/>
      <c r="MCQ41" s="226"/>
      <c r="MCR41" s="227"/>
      <c r="MCS41" s="228"/>
      <c r="MCT41" s="228"/>
      <c r="MCU41" s="228"/>
      <c r="MCV41" s="228"/>
      <c r="MCW41" s="228"/>
      <c r="MCX41" s="228"/>
      <c r="MCY41" s="226"/>
      <c r="MCZ41" s="226"/>
      <c r="MDA41" s="224"/>
      <c r="MDB41" s="225"/>
      <c r="MDC41" s="226"/>
      <c r="MDD41" s="227"/>
      <c r="MDE41" s="228"/>
      <c r="MDF41" s="228"/>
      <c r="MDG41" s="228"/>
      <c r="MDH41" s="228"/>
      <c r="MDI41" s="228"/>
      <c r="MDJ41" s="228"/>
      <c r="MDK41" s="226"/>
      <c r="MDL41" s="226"/>
      <c r="MDM41" s="224"/>
      <c r="MDN41" s="225"/>
      <c r="MDO41" s="226"/>
      <c r="MDP41" s="227"/>
      <c r="MDQ41" s="228"/>
      <c r="MDR41" s="228"/>
      <c r="MDS41" s="228"/>
      <c r="MDT41" s="228"/>
      <c r="MDU41" s="228"/>
      <c r="MDV41" s="228"/>
      <c r="MDW41" s="226"/>
      <c r="MDX41" s="226"/>
      <c r="MDY41" s="224"/>
      <c r="MDZ41" s="225"/>
      <c r="MEA41" s="226"/>
      <c r="MEB41" s="227"/>
      <c r="MEC41" s="228"/>
      <c r="MED41" s="228"/>
      <c r="MEE41" s="228"/>
      <c r="MEF41" s="228"/>
      <c r="MEG41" s="228"/>
      <c r="MEH41" s="228"/>
      <c r="MEI41" s="226"/>
      <c r="MEJ41" s="226"/>
      <c r="MEK41" s="224"/>
      <c r="MEL41" s="225"/>
      <c r="MEM41" s="226"/>
      <c r="MEN41" s="227"/>
      <c r="MEO41" s="228"/>
      <c r="MEP41" s="228"/>
      <c r="MEQ41" s="228"/>
      <c r="MER41" s="228"/>
      <c r="MES41" s="228"/>
      <c r="MET41" s="228"/>
      <c r="MEU41" s="226"/>
      <c r="MEV41" s="226"/>
      <c r="MEW41" s="224"/>
      <c r="MEX41" s="225"/>
      <c r="MEY41" s="226"/>
      <c r="MEZ41" s="227"/>
      <c r="MFA41" s="228"/>
      <c r="MFB41" s="228"/>
      <c r="MFC41" s="228"/>
      <c r="MFD41" s="228"/>
      <c r="MFE41" s="228"/>
      <c r="MFF41" s="228"/>
      <c r="MFG41" s="226"/>
      <c r="MFH41" s="226"/>
      <c r="MFI41" s="224"/>
      <c r="MFJ41" s="225"/>
      <c r="MFK41" s="226"/>
      <c r="MFL41" s="227"/>
      <c r="MFM41" s="228"/>
      <c r="MFN41" s="228"/>
      <c r="MFO41" s="228"/>
      <c r="MFP41" s="228"/>
      <c r="MFQ41" s="228"/>
      <c r="MFR41" s="228"/>
      <c r="MFS41" s="226"/>
      <c r="MFT41" s="226"/>
      <c r="MFU41" s="224"/>
      <c r="MFV41" s="225"/>
      <c r="MFW41" s="226"/>
      <c r="MFX41" s="227"/>
      <c r="MFY41" s="228"/>
      <c r="MFZ41" s="228"/>
      <c r="MGA41" s="228"/>
      <c r="MGB41" s="228"/>
      <c r="MGC41" s="228"/>
      <c r="MGD41" s="228"/>
      <c r="MGE41" s="226"/>
      <c r="MGF41" s="226"/>
      <c r="MGG41" s="224"/>
      <c r="MGH41" s="225"/>
      <c r="MGI41" s="226"/>
      <c r="MGJ41" s="227"/>
      <c r="MGK41" s="228"/>
      <c r="MGL41" s="228"/>
      <c r="MGM41" s="228"/>
      <c r="MGN41" s="228"/>
      <c r="MGO41" s="228"/>
      <c r="MGP41" s="228"/>
      <c r="MGQ41" s="226"/>
      <c r="MGR41" s="226"/>
      <c r="MGS41" s="224"/>
      <c r="MGT41" s="225"/>
      <c r="MGU41" s="226"/>
      <c r="MGV41" s="227"/>
      <c r="MGW41" s="228"/>
      <c r="MGX41" s="228"/>
      <c r="MGY41" s="228"/>
      <c r="MGZ41" s="228"/>
      <c r="MHA41" s="228"/>
      <c r="MHB41" s="228"/>
      <c r="MHC41" s="226"/>
      <c r="MHD41" s="226"/>
      <c r="MHE41" s="224"/>
      <c r="MHF41" s="225"/>
      <c r="MHG41" s="226"/>
      <c r="MHH41" s="227"/>
      <c r="MHI41" s="228"/>
      <c r="MHJ41" s="228"/>
      <c r="MHK41" s="228"/>
      <c r="MHL41" s="228"/>
      <c r="MHM41" s="228"/>
      <c r="MHN41" s="228"/>
      <c r="MHO41" s="226"/>
      <c r="MHP41" s="226"/>
      <c r="MHQ41" s="224"/>
      <c r="MHR41" s="225"/>
      <c r="MHS41" s="226"/>
      <c r="MHT41" s="227"/>
      <c r="MHU41" s="228"/>
      <c r="MHV41" s="228"/>
      <c r="MHW41" s="228"/>
      <c r="MHX41" s="228"/>
      <c r="MHY41" s="228"/>
      <c r="MHZ41" s="228"/>
      <c r="MIA41" s="226"/>
      <c r="MIB41" s="226"/>
      <c r="MIC41" s="224"/>
      <c r="MID41" s="225"/>
      <c r="MIE41" s="226"/>
      <c r="MIF41" s="227"/>
      <c r="MIG41" s="228"/>
      <c r="MIH41" s="228"/>
      <c r="MII41" s="228"/>
      <c r="MIJ41" s="228"/>
      <c r="MIK41" s="228"/>
      <c r="MIL41" s="228"/>
      <c r="MIM41" s="226"/>
      <c r="MIN41" s="226"/>
      <c r="MIO41" s="224"/>
      <c r="MIP41" s="225"/>
      <c r="MIQ41" s="226"/>
      <c r="MIR41" s="227"/>
      <c r="MIS41" s="228"/>
      <c r="MIT41" s="228"/>
      <c r="MIU41" s="228"/>
      <c r="MIV41" s="228"/>
      <c r="MIW41" s="228"/>
      <c r="MIX41" s="228"/>
      <c r="MIY41" s="226"/>
      <c r="MIZ41" s="226"/>
      <c r="MJA41" s="224"/>
      <c r="MJB41" s="225"/>
      <c r="MJC41" s="226"/>
      <c r="MJD41" s="227"/>
      <c r="MJE41" s="228"/>
      <c r="MJF41" s="228"/>
      <c r="MJG41" s="228"/>
      <c r="MJH41" s="228"/>
      <c r="MJI41" s="228"/>
      <c r="MJJ41" s="228"/>
      <c r="MJK41" s="226"/>
      <c r="MJL41" s="226"/>
      <c r="MJM41" s="224"/>
      <c r="MJN41" s="225"/>
      <c r="MJO41" s="226"/>
      <c r="MJP41" s="227"/>
      <c r="MJQ41" s="228"/>
      <c r="MJR41" s="228"/>
      <c r="MJS41" s="228"/>
      <c r="MJT41" s="228"/>
      <c r="MJU41" s="228"/>
      <c r="MJV41" s="228"/>
      <c r="MJW41" s="226"/>
      <c r="MJX41" s="226"/>
      <c r="MJY41" s="224"/>
      <c r="MJZ41" s="225"/>
      <c r="MKA41" s="226"/>
      <c r="MKB41" s="227"/>
      <c r="MKC41" s="228"/>
      <c r="MKD41" s="228"/>
      <c r="MKE41" s="228"/>
      <c r="MKF41" s="228"/>
      <c r="MKG41" s="228"/>
      <c r="MKH41" s="228"/>
      <c r="MKI41" s="226"/>
      <c r="MKJ41" s="226"/>
      <c r="MKK41" s="224"/>
      <c r="MKL41" s="225"/>
      <c r="MKM41" s="226"/>
      <c r="MKN41" s="227"/>
      <c r="MKO41" s="228"/>
      <c r="MKP41" s="228"/>
      <c r="MKQ41" s="228"/>
      <c r="MKR41" s="228"/>
      <c r="MKS41" s="228"/>
      <c r="MKT41" s="228"/>
      <c r="MKU41" s="226"/>
      <c r="MKV41" s="226"/>
      <c r="MKW41" s="224"/>
      <c r="MKX41" s="225"/>
      <c r="MKY41" s="226"/>
      <c r="MKZ41" s="227"/>
      <c r="MLA41" s="228"/>
      <c r="MLB41" s="228"/>
      <c r="MLC41" s="228"/>
      <c r="MLD41" s="228"/>
      <c r="MLE41" s="228"/>
      <c r="MLF41" s="228"/>
      <c r="MLG41" s="226"/>
      <c r="MLH41" s="226"/>
      <c r="MLI41" s="224"/>
      <c r="MLJ41" s="225"/>
      <c r="MLK41" s="226"/>
      <c r="MLL41" s="227"/>
      <c r="MLM41" s="228"/>
      <c r="MLN41" s="228"/>
      <c r="MLO41" s="228"/>
      <c r="MLP41" s="228"/>
      <c r="MLQ41" s="228"/>
      <c r="MLR41" s="228"/>
      <c r="MLS41" s="226"/>
      <c r="MLT41" s="226"/>
      <c r="MLU41" s="224"/>
      <c r="MLV41" s="225"/>
      <c r="MLW41" s="226"/>
      <c r="MLX41" s="227"/>
      <c r="MLY41" s="228"/>
      <c r="MLZ41" s="228"/>
      <c r="MMA41" s="228"/>
      <c r="MMB41" s="228"/>
      <c r="MMC41" s="228"/>
      <c r="MMD41" s="228"/>
      <c r="MME41" s="226"/>
      <c r="MMF41" s="226"/>
      <c r="MMG41" s="224"/>
      <c r="MMH41" s="225"/>
      <c r="MMI41" s="226"/>
      <c r="MMJ41" s="227"/>
      <c r="MMK41" s="228"/>
      <c r="MML41" s="228"/>
      <c r="MMM41" s="228"/>
      <c r="MMN41" s="228"/>
      <c r="MMO41" s="228"/>
      <c r="MMP41" s="228"/>
      <c r="MMQ41" s="226"/>
      <c r="MMR41" s="226"/>
      <c r="MMS41" s="224"/>
      <c r="MMT41" s="225"/>
      <c r="MMU41" s="226"/>
      <c r="MMV41" s="227"/>
      <c r="MMW41" s="228"/>
      <c r="MMX41" s="228"/>
      <c r="MMY41" s="228"/>
      <c r="MMZ41" s="228"/>
      <c r="MNA41" s="228"/>
      <c r="MNB41" s="228"/>
      <c r="MNC41" s="226"/>
      <c r="MND41" s="226"/>
      <c r="MNE41" s="224"/>
      <c r="MNF41" s="225"/>
      <c r="MNG41" s="226"/>
      <c r="MNH41" s="227"/>
      <c r="MNI41" s="228"/>
      <c r="MNJ41" s="228"/>
      <c r="MNK41" s="228"/>
      <c r="MNL41" s="228"/>
      <c r="MNM41" s="228"/>
      <c r="MNN41" s="228"/>
      <c r="MNO41" s="226"/>
      <c r="MNP41" s="226"/>
      <c r="MNQ41" s="224"/>
      <c r="MNR41" s="225"/>
      <c r="MNS41" s="226"/>
      <c r="MNT41" s="227"/>
      <c r="MNU41" s="228"/>
      <c r="MNV41" s="228"/>
      <c r="MNW41" s="228"/>
      <c r="MNX41" s="228"/>
      <c r="MNY41" s="228"/>
      <c r="MNZ41" s="228"/>
      <c r="MOA41" s="226"/>
      <c r="MOB41" s="226"/>
      <c r="MOC41" s="224"/>
      <c r="MOD41" s="225"/>
      <c r="MOE41" s="226"/>
      <c r="MOF41" s="227"/>
      <c r="MOG41" s="228"/>
      <c r="MOH41" s="228"/>
      <c r="MOI41" s="228"/>
      <c r="MOJ41" s="228"/>
      <c r="MOK41" s="228"/>
      <c r="MOL41" s="228"/>
      <c r="MOM41" s="226"/>
      <c r="MON41" s="226"/>
      <c r="MOO41" s="224"/>
      <c r="MOP41" s="225"/>
      <c r="MOQ41" s="226"/>
      <c r="MOR41" s="227"/>
      <c r="MOS41" s="228"/>
      <c r="MOT41" s="228"/>
      <c r="MOU41" s="228"/>
      <c r="MOV41" s="228"/>
      <c r="MOW41" s="228"/>
      <c r="MOX41" s="228"/>
      <c r="MOY41" s="226"/>
      <c r="MOZ41" s="226"/>
      <c r="MPA41" s="224"/>
      <c r="MPB41" s="225"/>
      <c r="MPC41" s="226"/>
      <c r="MPD41" s="227"/>
      <c r="MPE41" s="228"/>
      <c r="MPF41" s="228"/>
      <c r="MPG41" s="228"/>
      <c r="MPH41" s="228"/>
      <c r="MPI41" s="228"/>
      <c r="MPJ41" s="228"/>
      <c r="MPK41" s="226"/>
      <c r="MPL41" s="226"/>
      <c r="MPM41" s="224"/>
      <c r="MPN41" s="225"/>
      <c r="MPO41" s="226"/>
      <c r="MPP41" s="227"/>
      <c r="MPQ41" s="228"/>
      <c r="MPR41" s="228"/>
      <c r="MPS41" s="228"/>
      <c r="MPT41" s="228"/>
      <c r="MPU41" s="228"/>
      <c r="MPV41" s="228"/>
      <c r="MPW41" s="226"/>
      <c r="MPX41" s="226"/>
      <c r="MPY41" s="224"/>
      <c r="MPZ41" s="225"/>
      <c r="MQA41" s="226"/>
      <c r="MQB41" s="227"/>
      <c r="MQC41" s="228"/>
      <c r="MQD41" s="228"/>
      <c r="MQE41" s="228"/>
      <c r="MQF41" s="228"/>
      <c r="MQG41" s="228"/>
      <c r="MQH41" s="228"/>
      <c r="MQI41" s="226"/>
      <c r="MQJ41" s="226"/>
      <c r="MQK41" s="224"/>
      <c r="MQL41" s="225"/>
      <c r="MQM41" s="226"/>
      <c r="MQN41" s="227"/>
      <c r="MQO41" s="228"/>
      <c r="MQP41" s="228"/>
      <c r="MQQ41" s="228"/>
      <c r="MQR41" s="228"/>
      <c r="MQS41" s="228"/>
      <c r="MQT41" s="228"/>
      <c r="MQU41" s="226"/>
      <c r="MQV41" s="226"/>
      <c r="MQW41" s="224"/>
      <c r="MQX41" s="225"/>
      <c r="MQY41" s="226"/>
      <c r="MQZ41" s="227"/>
      <c r="MRA41" s="228"/>
      <c r="MRB41" s="228"/>
      <c r="MRC41" s="228"/>
      <c r="MRD41" s="228"/>
      <c r="MRE41" s="228"/>
      <c r="MRF41" s="228"/>
      <c r="MRG41" s="226"/>
      <c r="MRH41" s="226"/>
      <c r="MRI41" s="224"/>
      <c r="MRJ41" s="225"/>
      <c r="MRK41" s="226"/>
      <c r="MRL41" s="227"/>
      <c r="MRM41" s="228"/>
      <c r="MRN41" s="228"/>
      <c r="MRO41" s="228"/>
      <c r="MRP41" s="228"/>
      <c r="MRQ41" s="228"/>
      <c r="MRR41" s="228"/>
      <c r="MRS41" s="226"/>
      <c r="MRT41" s="226"/>
      <c r="MRU41" s="224"/>
      <c r="MRV41" s="225"/>
      <c r="MRW41" s="226"/>
      <c r="MRX41" s="227"/>
      <c r="MRY41" s="228"/>
      <c r="MRZ41" s="228"/>
      <c r="MSA41" s="228"/>
      <c r="MSB41" s="228"/>
      <c r="MSC41" s="228"/>
      <c r="MSD41" s="228"/>
      <c r="MSE41" s="226"/>
      <c r="MSF41" s="226"/>
      <c r="MSG41" s="224"/>
      <c r="MSH41" s="225"/>
      <c r="MSI41" s="226"/>
      <c r="MSJ41" s="227"/>
      <c r="MSK41" s="228"/>
      <c r="MSL41" s="228"/>
      <c r="MSM41" s="228"/>
      <c r="MSN41" s="228"/>
      <c r="MSO41" s="228"/>
      <c r="MSP41" s="228"/>
      <c r="MSQ41" s="226"/>
      <c r="MSR41" s="226"/>
      <c r="MSS41" s="224"/>
      <c r="MST41" s="225"/>
      <c r="MSU41" s="226"/>
      <c r="MSV41" s="227"/>
      <c r="MSW41" s="228"/>
      <c r="MSX41" s="228"/>
      <c r="MSY41" s="228"/>
      <c r="MSZ41" s="228"/>
      <c r="MTA41" s="228"/>
      <c r="MTB41" s="228"/>
      <c r="MTC41" s="226"/>
      <c r="MTD41" s="226"/>
      <c r="MTE41" s="224"/>
      <c r="MTF41" s="225"/>
      <c r="MTG41" s="226"/>
      <c r="MTH41" s="227"/>
      <c r="MTI41" s="228"/>
      <c r="MTJ41" s="228"/>
      <c r="MTK41" s="228"/>
      <c r="MTL41" s="228"/>
      <c r="MTM41" s="228"/>
      <c r="MTN41" s="228"/>
      <c r="MTO41" s="226"/>
      <c r="MTP41" s="226"/>
      <c r="MTQ41" s="224"/>
      <c r="MTR41" s="225"/>
      <c r="MTS41" s="226"/>
      <c r="MTT41" s="227"/>
      <c r="MTU41" s="228"/>
      <c r="MTV41" s="228"/>
      <c r="MTW41" s="228"/>
      <c r="MTX41" s="228"/>
      <c r="MTY41" s="228"/>
      <c r="MTZ41" s="228"/>
      <c r="MUA41" s="226"/>
      <c r="MUB41" s="226"/>
      <c r="MUC41" s="224"/>
      <c r="MUD41" s="225"/>
      <c r="MUE41" s="226"/>
      <c r="MUF41" s="227"/>
      <c r="MUG41" s="228"/>
      <c r="MUH41" s="228"/>
      <c r="MUI41" s="228"/>
      <c r="MUJ41" s="228"/>
      <c r="MUK41" s="228"/>
      <c r="MUL41" s="228"/>
      <c r="MUM41" s="226"/>
      <c r="MUN41" s="226"/>
      <c r="MUO41" s="224"/>
      <c r="MUP41" s="225"/>
      <c r="MUQ41" s="226"/>
      <c r="MUR41" s="227"/>
      <c r="MUS41" s="228"/>
      <c r="MUT41" s="228"/>
      <c r="MUU41" s="228"/>
      <c r="MUV41" s="228"/>
      <c r="MUW41" s="228"/>
      <c r="MUX41" s="228"/>
      <c r="MUY41" s="226"/>
      <c r="MUZ41" s="226"/>
      <c r="MVA41" s="224"/>
      <c r="MVB41" s="225"/>
      <c r="MVC41" s="226"/>
      <c r="MVD41" s="227"/>
      <c r="MVE41" s="228"/>
      <c r="MVF41" s="228"/>
      <c r="MVG41" s="228"/>
      <c r="MVH41" s="228"/>
      <c r="MVI41" s="228"/>
      <c r="MVJ41" s="228"/>
      <c r="MVK41" s="226"/>
      <c r="MVL41" s="226"/>
      <c r="MVM41" s="224"/>
      <c r="MVN41" s="225"/>
      <c r="MVO41" s="226"/>
      <c r="MVP41" s="227"/>
      <c r="MVQ41" s="228"/>
      <c r="MVR41" s="228"/>
      <c r="MVS41" s="228"/>
      <c r="MVT41" s="228"/>
      <c r="MVU41" s="228"/>
      <c r="MVV41" s="228"/>
      <c r="MVW41" s="226"/>
      <c r="MVX41" s="226"/>
      <c r="MVY41" s="224"/>
      <c r="MVZ41" s="225"/>
      <c r="MWA41" s="226"/>
      <c r="MWB41" s="227"/>
      <c r="MWC41" s="228"/>
      <c r="MWD41" s="228"/>
      <c r="MWE41" s="228"/>
      <c r="MWF41" s="228"/>
      <c r="MWG41" s="228"/>
      <c r="MWH41" s="228"/>
      <c r="MWI41" s="226"/>
      <c r="MWJ41" s="226"/>
      <c r="MWK41" s="224"/>
      <c r="MWL41" s="225"/>
      <c r="MWM41" s="226"/>
      <c r="MWN41" s="227"/>
      <c r="MWO41" s="228"/>
      <c r="MWP41" s="228"/>
      <c r="MWQ41" s="228"/>
      <c r="MWR41" s="228"/>
      <c r="MWS41" s="228"/>
      <c r="MWT41" s="228"/>
      <c r="MWU41" s="226"/>
      <c r="MWV41" s="226"/>
      <c r="MWW41" s="224"/>
      <c r="MWX41" s="225"/>
      <c r="MWY41" s="226"/>
      <c r="MWZ41" s="227"/>
      <c r="MXA41" s="228"/>
      <c r="MXB41" s="228"/>
      <c r="MXC41" s="228"/>
      <c r="MXD41" s="228"/>
      <c r="MXE41" s="228"/>
      <c r="MXF41" s="228"/>
      <c r="MXG41" s="226"/>
      <c r="MXH41" s="226"/>
      <c r="MXI41" s="224"/>
      <c r="MXJ41" s="225"/>
      <c r="MXK41" s="226"/>
      <c r="MXL41" s="227"/>
      <c r="MXM41" s="228"/>
      <c r="MXN41" s="228"/>
      <c r="MXO41" s="228"/>
      <c r="MXP41" s="228"/>
      <c r="MXQ41" s="228"/>
      <c r="MXR41" s="228"/>
      <c r="MXS41" s="226"/>
      <c r="MXT41" s="226"/>
      <c r="MXU41" s="224"/>
      <c r="MXV41" s="225"/>
      <c r="MXW41" s="226"/>
      <c r="MXX41" s="227"/>
      <c r="MXY41" s="228"/>
      <c r="MXZ41" s="228"/>
      <c r="MYA41" s="228"/>
      <c r="MYB41" s="228"/>
      <c r="MYC41" s="228"/>
      <c r="MYD41" s="228"/>
      <c r="MYE41" s="226"/>
      <c r="MYF41" s="226"/>
      <c r="MYG41" s="224"/>
      <c r="MYH41" s="225"/>
      <c r="MYI41" s="226"/>
      <c r="MYJ41" s="227"/>
      <c r="MYK41" s="228"/>
      <c r="MYL41" s="228"/>
      <c r="MYM41" s="228"/>
      <c r="MYN41" s="228"/>
      <c r="MYO41" s="228"/>
      <c r="MYP41" s="228"/>
      <c r="MYQ41" s="226"/>
      <c r="MYR41" s="226"/>
      <c r="MYS41" s="224"/>
      <c r="MYT41" s="225"/>
      <c r="MYU41" s="226"/>
      <c r="MYV41" s="227"/>
      <c r="MYW41" s="228"/>
      <c r="MYX41" s="228"/>
      <c r="MYY41" s="228"/>
      <c r="MYZ41" s="228"/>
      <c r="MZA41" s="228"/>
      <c r="MZB41" s="228"/>
      <c r="MZC41" s="226"/>
      <c r="MZD41" s="226"/>
      <c r="MZE41" s="224"/>
      <c r="MZF41" s="225"/>
      <c r="MZG41" s="226"/>
      <c r="MZH41" s="227"/>
      <c r="MZI41" s="228"/>
      <c r="MZJ41" s="228"/>
      <c r="MZK41" s="228"/>
      <c r="MZL41" s="228"/>
      <c r="MZM41" s="228"/>
      <c r="MZN41" s="228"/>
      <c r="MZO41" s="226"/>
      <c r="MZP41" s="226"/>
      <c r="MZQ41" s="224"/>
      <c r="MZR41" s="225"/>
      <c r="MZS41" s="226"/>
      <c r="MZT41" s="227"/>
      <c r="MZU41" s="228"/>
      <c r="MZV41" s="228"/>
      <c r="MZW41" s="228"/>
      <c r="MZX41" s="228"/>
      <c r="MZY41" s="228"/>
      <c r="MZZ41" s="228"/>
      <c r="NAA41" s="226"/>
      <c r="NAB41" s="226"/>
      <c r="NAC41" s="224"/>
      <c r="NAD41" s="225"/>
      <c r="NAE41" s="226"/>
      <c r="NAF41" s="227"/>
      <c r="NAG41" s="228"/>
      <c r="NAH41" s="228"/>
      <c r="NAI41" s="228"/>
      <c r="NAJ41" s="228"/>
      <c r="NAK41" s="228"/>
      <c r="NAL41" s="228"/>
      <c r="NAM41" s="226"/>
      <c r="NAN41" s="226"/>
      <c r="NAO41" s="224"/>
      <c r="NAP41" s="225"/>
      <c r="NAQ41" s="226"/>
      <c r="NAR41" s="227"/>
      <c r="NAS41" s="228"/>
      <c r="NAT41" s="228"/>
      <c r="NAU41" s="228"/>
      <c r="NAV41" s="228"/>
      <c r="NAW41" s="228"/>
      <c r="NAX41" s="228"/>
      <c r="NAY41" s="226"/>
      <c r="NAZ41" s="226"/>
      <c r="NBA41" s="224"/>
      <c r="NBB41" s="225"/>
      <c r="NBC41" s="226"/>
      <c r="NBD41" s="227"/>
      <c r="NBE41" s="228"/>
      <c r="NBF41" s="228"/>
      <c r="NBG41" s="228"/>
      <c r="NBH41" s="228"/>
      <c r="NBI41" s="228"/>
      <c r="NBJ41" s="228"/>
      <c r="NBK41" s="226"/>
      <c r="NBL41" s="226"/>
      <c r="NBM41" s="224"/>
      <c r="NBN41" s="225"/>
      <c r="NBO41" s="226"/>
      <c r="NBP41" s="227"/>
      <c r="NBQ41" s="228"/>
      <c r="NBR41" s="228"/>
      <c r="NBS41" s="228"/>
      <c r="NBT41" s="228"/>
      <c r="NBU41" s="228"/>
      <c r="NBV41" s="228"/>
      <c r="NBW41" s="226"/>
      <c r="NBX41" s="226"/>
      <c r="NBY41" s="224"/>
      <c r="NBZ41" s="225"/>
      <c r="NCA41" s="226"/>
      <c r="NCB41" s="227"/>
      <c r="NCC41" s="228"/>
      <c r="NCD41" s="228"/>
      <c r="NCE41" s="228"/>
      <c r="NCF41" s="228"/>
      <c r="NCG41" s="228"/>
      <c r="NCH41" s="228"/>
      <c r="NCI41" s="226"/>
      <c r="NCJ41" s="226"/>
      <c r="NCK41" s="224"/>
      <c r="NCL41" s="225"/>
      <c r="NCM41" s="226"/>
      <c r="NCN41" s="227"/>
      <c r="NCO41" s="228"/>
      <c r="NCP41" s="228"/>
      <c r="NCQ41" s="228"/>
      <c r="NCR41" s="228"/>
      <c r="NCS41" s="228"/>
      <c r="NCT41" s="228"/>
      <c r="NCU41" s="226"/>
      <c r="NCV41" s="226"/>
      <c r="NCW41" s="224"/>
      <c r="NCX41" s="225"/>
      <c r="NCY41" s="226"/>
      <c r="NCZ41" s="227"/>
      <c r="NDA41" s="228"/>
      <c r="NDB41" s="228"/>
      <c r="NDC41" s="228"/>
      <c r="NDD41" s="228"/>
      <c r="NDE41" s="228"/>
      <c r="NDF41" s="228"/>
      <c r="NDG41" s="226"/>
      <c r="NDH41" s="226"/>
      <c r="NDI41" s="224"/>
      <c r="NDJ41" s="225"/>
      <c r="NDK41" s="226"/>
      <c r="NDL41" s="227"/>
      <c r="NDM41" s="228"/>
      <c r="NDN41" s="228"/>
      <c r="NDO41" s="228"/>
      <c r="NDP41" s="228"/>
      <c r="NDQ41" s="228"/>
      <c r="NDR41" s="228"/>
      <c r="NDS41" s="226"/>
      <c r="NDT41" s="226"/>
      <c r="NDU41" s="224"/>
      <c r="NDV41" s="225"/>
      <c r="NDW41" s="226"/>
      <c r="NDX41" s="227"/>
      <c r="NDY41" s="228"/>
      <c r="NDZ41" s="228"/>
      <c r="NEA41" s="228"/>
      <c r="NEB41" s="228"/>
      <c r="NEC41" s="228"/>
      <c r="NED41" s="228"/>
      <c r="NEE41" s="226"/>
      <c r="NEF41" s="226"/>
      <c r="NEG41" s="224"/>
      <c r="NEH41" s="225"/>
      <c r="NEI41" s="226"/>
      <c r="NEJ41" s="227"/>
      <c r="NEK41" s="228"/>
      <c r="NEL41" s="228"/>
      <c r="NEM41" s="228"/>
      <c r="NEN41" s="228"/>
      <c r="NEO41" s="228"/>
      <c r="NEP41" s="228"/>
      <c r="NEQ41" s="226"/>
      <c r="NER41" s="226"/>
      <c r="NES41" s="224"/>
      <c r="NET41" s="225"/>
      <c r="NEU41" s="226"/>
      <c r="NEV41" s="227"/>
      <c r="NEW41" s="228"/>
      <c r="NEX41" s="228"/>
      <c r="NEY41" s="228"/>
      <c r="NEZ41" s="228"/>
      <c r="NFA41" s="228"/>
      <c r="NFB41" s="228"/>
      <c r="NFC41" s="226"/>
      <c r="NFD41" s="226"/>
      <c r="NFE41" s="224"/>
      <c r="NFF41" s="225"/>
      <c r="NFG41" s="226"/>
      <c r="NFH41" s="227"/>
      <c r="NFI41" s="228"/>
      <c r="NFJ41" s="228"/>
      <c r="NFK41" s="228"/>
      <c r="NFL41" s="228"/>
      <c r="NFM41" s="228"/>
      <c r="NFN41" s="228"/>
      <c r="NFO41" s="226"/>
      <c r="NFP41" s="226"/>
      <c r="NFQ41" s="224"/>
      <c r="NFR41" s="225"/>
      <c r="NFS41" s="226"/>
      <c r="NFT41" s="227"/>
      <c r="NFU41" s="228"/>
      <c r="NFV41" s="228"/>
      <c r="NFW41" s="228"/>
      <c r="NFX41" s="228"/>
      <c r="NFY41" s="228"/>
      <c r="NFZ41" s="228"/>
      <c r="NGA41" s="226"/>
      <c r="NGB41" s="226"/>
      <c r="NGC41" s="224"/>
      <c r="NGD41" s="225"/>
      <c r="NGE41" s="226"/>
      <c r="NGF41" s="227"/>
      <c r="NGG41" s="228"/>
      <c r="NGH41" s="228"/>
      <c r="NGI41" s="228"/>
      <c r="NGJ41" s="228"/>
      <c r="NGK41" s="228"/>
      <c r="NGL41" s="228"/>
      <c r="NGM41" s="226"/>
      <c r="NGN41" s="226"/>
      <c r="NGO41" s="224"/>
      <c r="NGP41" s="225"/>
      <c r="NGQ41" s="226"/>
      <c r="NGR41" s="227"/>
      <c r="NGS41" s="228"/>
      <c r="NGT41" s="228"/>
      <c r="NGU41" s="228"/>
      <c r="NGV41" s="228"/>
      <c r="NGW41" s="228"/>
      <c r="NGX41" s="228"/>
      <c r="NGY41" s="226"/>
      <c r="NGZ41" s="226"/>
      <c r="NHA41" s="224"/>
      <c r="NHB41" s="225"/>
      <c r="NHC41" s="226"/>
      <c r="NHD41" s="227"/>
      <c r="NHE41" s="228"/>
      <c r="NHF41" s="228"/>
      <c r="NHG41" s="228"/>
      <c r="NHH41" s="228"/>
      <c r="NHI41" s="228"/>
      <c r="NHJ41" s="228"/>
      <c r="NHK41" s="226"/>
      <c r="NHL41" s="226"/>
      <c r="NHM41" s="224"/>
      <c r="NHN41" s="225"/>
      <c r="NHO41" s="226"/>
      <c r="NHP41" s="227"/>
      <c r="NHQ41" s="228"/>
      <c r="NHR41" s="228"/>
      <c r="NHS41" s="228"/>
      <c r="NHT41" s="228"/>
      <c r="NHU41" s="228"/>
      <c r="NHV41" s="228"/>
      <c r="NHW41" s="226"/>
      <c r="NHX41" s="226"/>
      <c r="NHY41" s="224"/>
      <c r="NHZ41" s="225"/>
      <c r="NIA41" s="226"/>
      <c r="NIB41" s="227"/>
      <c r="NIC41" s="228"/>
      <c r="NID41" s="228"/>
      <c r="NIE41" s="228"/>
      <c r="NIF41" s="228"/>
      <c r="NIG41" s="228"/>
      <c r="NIH41" s="228"/>
      <c r="NII41" s="226"/>
      <c r="NIJ41" s="226"/>
      <c r="NIK41" s="224"/>
      <c r="NIL41" s="225"/>
      <c r="NIM41" s="226"/>
      <c r="NIN41" s="227"/>
      <c r="NIO41" s="228"/>
      <c r="NIP41" s="228"/>
      <c r="NIQ41" s="228"/>
      <c r="NIR41" s="228"/>
      <c r="NIS41" s="228"/>
      <c r="NIT41" s="228"/>
      <c r="NIU41" s="226"/>
      <c r="NIV41" s="226"/>
      <c r="NIW41" s="224"/>
      <c r="NIX41" s="225"/>
      <c r="NIY41" s="226"/>
      <c r="NIZ41" s="227"/>
      <c r="NJA41" s="228"/>
      <c r="NJB41" s="228"/>
      <c r="NJC41" s="228"/>
      <c r="NJD41" s="228"/>
      <c r="NJE41" s="228"/>
      <c r="NJF41" s="228"/>
      <c r="NJG41" s="226"/>
      <c r="NJH41" s="226"/>
      <c r="NJI41" s="224"/>
      <c r="NJJ41" s="225"/>
      <c r="NJK41" s="226"/>
      <c r="NJL41" s="227"/>
      <c r="NJM41" s="228"/>
      <c r="NJN41" s="228"/>
      <c r="NJO41" s="228"/>
      <c r="NJP41" s="228"/>
      <c r="NJQ41" s="228"/>
      <c r="NJR41" s="228"/>
      <c r="NJS41" s="226"/>
      <c r="NJT41" s="226"/>
      <c r="NJU41" s="224"/>
      <c r="NJV41" s="225"/>
      <c r="NJW41" s="226"/>
      <c r="NJX41" s="227"/>
      <c r="NJY41" s="228"/>
      <c r="NJZ41" s="228"/>
      <c r="NKA41" s="228"/>
      <c r="NKB41" s="228"/>
      <c r="NKC41" s="228"/>
      <c r="NKD41" s="228"/>
      <c r="NKE41" s="226"/>
      <c r="NKF41" s="226"/>
      <c r="NKG41" s="224"/>
      <c r="NKH41" s="225"/>
      <c r="NKI41" s="226"/>
      <c r="NKJ41" s="227"/>
      <c r="NKK41" s="228"/>
      <c r="NKL41" s="228"/>
      <c r="NKM41" s="228"/>
      <c r="NKN41" s="228"/>
      <c r="NKO41" s="228"/>
      <c r="NKP41" s="228"/>
      <c r="NKQ41" s="226"/>
      <c r="NKR41" s="226"/>
      <c r="NKS41" s="224"/>
      <c r="NKT41" s="225"/>
      <c r="NKU41" s="226"/>
      <c r="NKV41" s="227"/>
      <c r="NKW41" s="228"/>
      <c r="NKX41" s="228"/>
      <c r="NKY41" s="228"/>
      <c r="NKZ41" s="228"/>
      <c r="NLA41" s="228"/>
      <c r="NLB41" s="228"/>
      <c r="NLC41" s="226"/>
      <c r="NLD41" s="226"/>
      <c r="NLE41" s="224"/>
      <c r="NLF41" s="225"/>
      <c r="NLG41" s="226"/>
      <c r="NLH41" s="227"/>
      <c r="NLI41" s="228"/>
      <c r="NLJ41" s="228"/>
      <c r="NLK41" s="228"/>
      <c r="NLL41" s="228"/>
      <c r="NLM41" s="228"/>
      <c r="NLN41" s="228"/>
      <c r="NLO41" s="226"/>
      <c r="NLP41" s="226"/>
      <c r="NLQ41" s="224"/>
      <c r="NLR41" s="225"/>
      <c r="NLS41" s="226"/>
      <c r="NLT41" s="227"/>
      <c r="NLU41" s="228"/>
      <c r="NLV41" s="228"/>
      <c r="NLW41" s="228"/>
      <c r="NLX41" s="228"/>
      <c r="NLY41" s="228"/>
      <c r="NLZ41" s="228"/>
      <c r="NMA41" s="226"/>
      <c r="NMB41" s="226"/>
      <c r="NMC41" s="224"/>
      <c r="NMD41" s="225"/>
      <c r="NME41" s="226"/>
      <c r="NMF41" s="227"/>
      <c r="NMG41" s="228"/>
      <c r="NMH41" s="228"/>
      <c r="NMI41" s="228"/>
      <c r="NMJ41" s="228"/>
      <c r="NMK41" s="228"/>
      <c r="NML41" s="228"/>
      <c r="NMM41" s="226"/>
      <c r="NMN41" s="226"/>
      <c r="NMO41" s="224"/>
      <c r="NMP41" s="225"/>
      <c r="NMQ41" s="226"/>
      <c r="NMR41" s="227"/>
      <c r="NMS41" s="228"/>
      <c r="NMT41" s="228"/>
      <c r="NMU41" s="228"/>
      <c r="NMV41" s="228"/>
      <c r="NMW41" s="228"/>
      <c r="NMX41" s="228"/>
      <c r="NMY41" s="226"/>
      <c r="NMZ41" s="226"/>
      <c r="NNA41" s="224"/>
      <c r="NNB41" s="225"/>
      <c r="NNC41" s="226"/>
      <c r="NND41" s="227"/>
      <c r="NNE41" s="228"/>
      <c r="NNF41" s="228"/>
      <c r="NNG41" s="228"/>
      <c r="NNH41" s="228"/>
      <c r="NNI41" s="228"/>
      <c r="NNJ41" s="228"/>
      <c r="NNK41" s="226"/>
      <c r="NNL41" s="226"/>
      <c r="NNM41" s="224"/>
      <c r="NNN41" s="225"/>
      <c r="NNO41" s="226"/>
      <c r="NNP41" s="227"/>
      <c r="NNQ41" s="228"/>
      <c r="NNR41" s="228"/>
      <c r="NNS41" s="228"/>
      <c r="NNT41" s="228"/>
      <c r="NNU41" s="228"/>
      <c r="NNV41" s="228"/>
      <c r="NNW41" s="226"/>
      <c r="NNX41" s="226"/>
      <c r="NNY41" s="224"/>
      <c r="NNZ41" s="225"/>
      <c r="NOA41" s="226"/>
      <c r="NOB41" s="227"/>
      <c r="NOC41" s="228"/>
      <c r="NOD41" s="228"/>
      <c r="NOE41" s="228"/>
      <c r="NOF41" s="228"/>
      <c r="NOG41" s="228"/>
      <c r="NOH41" s="228"/>
      <c r="NOI41" s="226"/>
      <c r="NOJ41" s="226"/>
      <c r="NOK41" s="224"/>
      <c r="NOL41" s="225"/>
      <c r="NOM41" s="226"/>
      <c r="NON41" s="227"/>
      <c r="NOO41" s="228"/>
      <c r="NOP41" s="228"/>
      <c r="NOQ41" s="228"/>
      <c r="NOR41" s="228"/>
      <c r="NOS41" s="228"/>
      <c r="NOT41" s="228"/>
      <c r="NOU41" s="226"/>
      <c r="NOV41" s="226"/>
      <c r="NOW41" s="224"/>
      <c r="NOX41" s="225"/>
      <c r="NOY41" s="226"/>
      <c r="NOZ41" s="227"/>
      <c r="NPA41" s="228"/>
      <c r="NPB41" s="228"/>
      <c r="NPC41" s="228"/>
      <c r="NPD41" s="228"/>
      <c r="NPE41" s="228"/>
      <c r="NPF41" s="228"/>
      <c r="NPG41" s="226"/>
      <c r="NPH41" s="226"/>
      <c r="NPI41" s="224"/>
      <c r="NPJ41" s="225"/>
      <c r="NPK41" s="226"/>
      <c r="NPL41" s="227"/>
      <c r="NPM41" s="228"/>
      <c r="NPN41" s="228"/>
      <c r="NPO41" s="228"/>
      <c r="NPP41" s="228"/>
      <c r="NPQ41" s="228"/>
      <c r="NPR41" s="228"/>
      <c r="NPS41" s="226"/>
      <c r="NPT41" s="226"/>
      <c r="NPU41" s="224"/>
      <c r="NPV41" s="225"/>
      <c r="NPW41" s="226"/>
      <c r="NPX41" s="227"/>
      <c r="NPY41" s="228"/>
      <c r="NPZ41" s="228"/>
      <c r="NQA41" s="228"/>
      <c r="NQB41" s="228"/>
      <c r="NQC41" s="228"/>
      <c r="NQD41" s="228"/>
      <c r="NQE41" s="226"/>
      <c r="NQF41" s="226"/>
      <c r="NQG41" s="224"/>
      <c r="NQH41" s="225"/>
      <c r="NQI41" s="226"/>
      <c r="NQJ41" s="227"/>
      <c r="NQK41" s="228"/>
      <c r="NQL41" s="228"/>
      <c r="NQM41" s="228"/>
      <c r="NQN41" s="228"/>
      <c r="NQO41" s="228"/>
      <c r="NQP41" s="228"/>
      <c r="NQQ41" s="226"/>
      <c r="NQR41" s="226"/>
      <c r="NQS41" s="224"/>
      <c r="NQT41" s="225"/>
      <c r="NQU41" s="226"/>
      <c r="NQV41" s="227"/>
      <c r="NQW41" s="228"/>
      <c r="NQX41" s="228"/>
      <c r="NQY41" s="228"/>
      <c r="NQZ41" s="228"/>
      <c r="NRA41" s="228"/>
      <c r="NRB41" s="228"/>
      <c r="NRC41" s="226"/>
      <c r="NRD41" s="226"/>
      <c r="NRE41" s="224"/>
      <c r="NRF41" s="225"/>
      <c r="NRG41" s="226"/>
      <c r="NRH41" s="227"/>
      <c r="NRI41" s="228"/>
      <c r="NRJ41" s="228"/>
      <c r="NRK41" s="228"/>
      <c r="NRL41" s="228"/>
      <c r="NRM41" s="228"/>
      <c r="NRN41" s="228"/>
      <c r="NRO41" s="226"/>
      <c r="NRP41" s="226"/>
      <c r="NRQ41" s="224"/>
      <c r="NRR41" s="225"/>
      <c r="NRS41" s="226"/>
      <c r="NRT41" s="227"/>
      <c r="NRU41" s="228"/>
      <c r="NRV41" s="228"/>
      <c r="NRW41" s="228"/>
      <c r="NRX41" s="228"/>
      <c r="NRY41" s="228"/>
      <c r="NRZ41" s="228"/>
      <c r="NSA41" s="226"/>
      <c r="NSB41" s="226"/>
      <c r="NSC41" s="224"/>
      <c r="NSD41" s="225"/>
      <c r="NSE41" s="226"/>
      <c r="NSF41" s="227"/>
      <c r="NSG41" s="228"/>
      <c r="NSH41" s="228"/>
      <c r="NSI41" s="228"/>
      <c r="NSJ41" s="228"/>
      <c r="NSK41" s="228"/>
      <c r="NSL41" s="228"/>
      <c r="NSM41" s="226"/>
      <c r="NSN41" s="226"/>
      <c r="NSO41" s="224"/>
      <c r="NSP41" s="225"/>
      <c r="NSQ41" s="226"/>
      <c r="NSR41" s="227"/>
      <c r="NSS41" s="228"/>
      <c r="NST41" s="228"/>
      <c r="NSU41" s="228"/>
      <c r="NSV41" s="228"/>
      <c r="NSW41" s="228"/>
      <c r="NSX41" s="228"/>
      <c r="NSY41" s="226"/>
      <c r="NSZ41" s="226"/>
      <c r="NTA41" s="224"/>
      <c r="NTB41" s="225"/>
      <c r="NTC41" s="226"/>
      <c r="NTD41" s="227"/>
      <c r="NTE41" s="228"/>
      <c r="NTF41" s="228"/>
      <c r="NTG41" s="228"/>
      <c r="NTH41" s="228"/>
      <c r="NTI41" s="228"/>
      <c r="NTJ41" s="228"/>
      <c r="NTK41" s="226"/>
      <c r="NTL41" s="226"/>
      <c r="NTM41" s="224"/>
      <c r="NTN41" s="225"/>
      <c r="NTO41" s="226"/>
      <c r="NTP41" s="227"/>
      <c r="NTQ41" s="228"/>
      <c r="NTR41" s="228"/>
      <c r="NTS41" s="228"/>
      <c r="NTT41" s="228"/>
      <c r="NTU41" s="228"/>
      <c r="NTV41" s="228"/>
      <c r="NTW41" s="226"/>
      <c r="NTX41" s="226"/>
      <c r="NTY41" s="224"/>
      <c r="NTZ41" s="225"/>
      <c r="NUA41" s="226"/>
      <c r="NUB41" s="227"/>
      <c r="NUC41" s="228"/>
      <c r="NUD41" s="228"/>
      <c r="NUE41" s="228"/>
      <c r="NUF41" s="228"/>
      <c r="NUG41" s="228"/>
      <c r="NUH41" s="228"/>
      <c r="NUI41" s="226"/>
      <c r="NUJ41" s="226"/>
      <c r="NUK41" s="224"/>
      <c r="NUL41" s="225"/>
      <c r="NUM41" s="226"/>
      <c r="NUN41" s="227"/>
      <c r="NUO41" s="228"/>
      <c r="NUP41" s="228"/>
      <c r="NUQ41" s="228"/>
      <c r="NUR41" s="228"/>
      <c r="NUS41" s="228"/>
      <c r="NUT41" s="228"/>
      <c r="NUU41" s="226"/>
      <c r="NUV41" s="226"/>
      <c r="NUW41" s="224"/>
      <c r="NUX41" s="225"/>
      <c r="NUY41" s="226"/>
      <c r="NUZ41" s="227"/>
      <c r="NVA41" s="228"/>
      <c r="NVB41" s="228"/>
      <c r="NVC41" s="228"/>
      <c r="NVD41" s="228"/>
      <c r="NVE41" s="228"/>
      <c r="NVF41" s="228"/>
      <c r="NVG41" s="226"/>
      <c r="NVH41" s="226"/>
      <c r="NVI41" s="224"/>
      <c r="NVJ41" s="225"/>
      <c r="NVK41" s="226"/>
      <c r="NVL41" s="227"/>
      <c r="NVM41" s="228"/>
      <c r="NVN41" s="228"/>
      <c r="NVO41" s="228"/>
      <c r="NVP41" s="228"/>
      <c r="NVQ41" s="228"/>
      <c r="NVR41" s="228"/>
      <c r="NVS41" s="226"/>
      <c r="NVT41" s="226"/>
      <c r="NVU41" s="224"/>
      <c r="NVV41" s="225"/>
      <c r="NVW41" s="226"/>
      <c r="NVX41" s="227"/>
      <c r="NVY41" s="228"/>
      <c r="NVZ41" s="228"/>
      <c r="NWA41" s="228"/>
      <c r="NWB41" s="228"/>
      <c r="NWC41" s="228"/>
      <c r="NWD41" s="228"/>
      <c r="NWE41" s="226"/>
      <c r="NWF41" s="226"/>
      <c r="NWG41" s="224"/>
      <c r="NWH41" s="225"/>
      <c r="NWI41" s="226"/>
      <c r="NWJ41" s="227"/>
      <c r="NWK41" s="228"/>
      <c r="NWL41" s="228"/>
      <c r="NWM41" s="228"/>
      <c r="NWN41" s="228"/>
      <c r="NWO41" s="228"/>
      <c r="NWP41" s="228"/>
      <c r="NWQ41" s="226"/>
      <c r="NWR41" s="226"/>
      <c r="NWS41" s="224"/>
      <c r="NWT41" s="225"/>
      <c r="NWU41" s="226"/>
      <c r="NWV41" s="227"/>
      <c r="NWW41" s="228"/>
      <c r="NWX41" s="228"/>
      <c r="NWY41" s="228"/>
      <c r="NWZ41" s="228"/>
      <c r="NXA41" s="228"/>
      <c r="NXB41" s="228"/>
      <c r="NXC41" s="226"/>
      <c r="NXD41" s="226"/>
      <c r="NXE41" s="224"/>
      <c r="NXF41" s="225"/>
      <c r="NXG41" s="226"/>
      <c r="NXH41" s="227"/>
      <c r="NXI41" s="228"/>
      <c r="NXJ41" s="228"/>
      <c r="NXK41" s="228"/>
      <c r="NXL41" s="228"/>
      <c r="NXM41" s="228"/>
      <c r="NXN41" s="228"/>
      <c r="NXO41" s="226"/>
      <c r="NXP41" s="226"/>
      <c r="NXQ41" s="224"/>
      <c r="NXR41" s="225"/>
      <c r="NXS41" s="226"/>
      <c r="NXT41" s="227"/>
      <c r="NXU41" s="228"/>
      <c r="NXV41" s="228"/>
      <c r="NXW41" s="228"/>
      <c r="NXX41" s="228"/>
      <c r="NXY41" s="228"/>
      <c r="NXZ41" s="228"/>
      <c r="NYA41" s="226"/>
      <c r="NYB41" s="226"/>
      <c r="NYC41" s="224"/>
      <c r="NYD41" s="225"/>
      <c r="NYE41" s="226"/>
      <c r="NYF41" s="227"/>
      <c r="NYG41" s="228"/>
      <c r="NYH41" s="228"/>
      <c r="NYI41" s="228"/>
      <c r="NYJ41" s="228"/>
      <c r="NYK41" s="228"/>
      <c r="NYL41" s="228"/>
      <c r="NYM41" s="226"/>
      <c r="NYN41" s="226"/>
      <c r="NYO41" s="224"/>
      <c r="NYP41" s="225"/>
      <c r="NYQ41" s="226"/>
      <c r="NYR41" s="227"/>
      <c r="NYS41" s="228"/>
      <c r="NYT41" s="228"/>
      <c r="NYU41" s="228"/>
      <c r="NYV41" s="228"/>
      <c r="NYW41" s="228"/>
      <c r="NYX41" s="228"/>
      <c r="NYY41" s="226"/>
      <c r="NYZ41" s="226"/>
      <c r="NZA41" s="224"/>
      <c r="NZB41" s="225"/>
      <c r="NZC41" s="226"/>
      <c r="NZD41" s="227"/>
      <c r="NZE41" s="228"/>
      <c r="NZF41" s="228"/>
      <c r="NZG41" s="228"/>
      <c r="NZH41" s="228"/>
      <c r="NZI41" s="228"/>
      <c r="NZJ41" s="228"/>
      <c r="NZK41" s="226"/>
      <c r="NZL41" s="226"/>
      <c r="NZM41" s="224"/>
      <c r="NZN41" s="225"/>
      <c r="NZO41" s="226"/>
      <c r="NZP41" s="227"/>
      <c r="NZQ41" s="228"/>
      <c r="NZR41" s="228"/>
      <c r="NZS41" s="228"/>
      <c r="NZT41" s="228"/>
      <c r="NZU41" s="228"/>
      <c r="NZV41" s="228"/>
      <c r="NZW41" s="226"/>
      <c r="NZX41" s="226"/>
      <c r="NZY41" s="224"/>
      <c r="NZZ41" s="225"/>
      <c r="OAA41" s="226"/>
      <c r="OAB41" s="227"/>
      <c r="OAC41" s="228"/>
      <c r="OAD41" s="228"/>
      <c r="OAE41" s="228"/>
      <c r="OAF41" s="228"/>
      <c r="OAG41" s="228"/>
      <c r="OAH41" s="228"/>
      <c r="OAI41" s="226"/>
      <c r="OAJ41" s="226"/>
      <c r="OAK41" s="224"/>
      <c r="OAL41" s="225"/>
      <c r="OAM41" s="226"/>
      <c r="OAN41" s="227"/>
      <c r="OAO41" s="228"/>
      <c r="OAP41" s="228"/>
      <c r="OAQ41" s="228"/>
      <c r="OAR41" s="228"/>
      <c r="OAS41" s="228"/>
      <c r="OAT41" s="228"/>
      <c r="OAU41" s="226"/>
      <c r="OAV41" s="226"/>
      <c r="OAW41" s="224"/>
      <c r="OAX41" s="225"/>
      <c r="OAY41" s="226"/>
      <c r="OAZ41" s="227"/>
      <c r="OBA41" s="228"/>
      <c r="OBB41" s="228"/>
      <c r="OBC41" s="228"/>
      <c r="OBD41" s="228"/>
      <c r="OBE41" s="228"/>
      <c r="OBF41" s="228"/>
      <c r="OBG41" s="226"/>
      <c r="OBH41" s="226"/>
      <c r="OBI41" s="224"/>
      <c r="OBJ41" s="225"/>
      <c r="OBK41" s="226"/>
      <c r="OBL41" s="227"/>
      <c r="OBM41" s="228"/>
      <c r="OBN41" s="228"/>
      <c r="OBO41" s="228"/>
      <c r="OBP41" s="228"/>
      <c r="OBQ41" s="228"/>
      <c r="OBR41" s="228"/>
      <c r="OBS41" s="226"/>
      <c r="OBT41" s="226"/>
      <c r="OBU41" s="224"/>
      <c r="OBV41" s="225"/>
      <c r="OBW41" s="226"/>
      <c r="OBX41" s="227"/>
      <c r="OBY41" s="228"/>
      <c r="OBZ41" s="228"/>
      <c r="OCA41" s="228"/>
      <c r="OCB41" s="228"/>
      <c r="OCC41" s="228"/>
      <c r="OCD41" s="228"/>
      <c r="OCE41" s="226"/>
      <c r="OCF41" s="226"/>
      <c r="OCG41" s="224"/>
      <c r="OCH41" s="225"/>
      <c r="OCI41" s="226"/>
      <c r="OCJ41" s="227"/>
      <c r="OCK41" s="228"/>
      <c r="OCL41" s="228"/>
      <c r="OCM41" s="228"/>
      <c r="OCN41" s="228"/>
      <c r="OCO41" s="228"/>
      <c r="OCP41" s="228"/>
      <c r="OCQ41" s="226"/>
      <c r="OCR41" s="226"/>
      <c r="OCS41" s="224"/>
      <c r="OCT41" s="225"/>
      <c r="OCU41" s="226"/>
      <c r="OCV41" s="227"/>
      <c r="OCW41" s="228"/>
      <c r="OCX41" s="228"/>
      <c r="OCY41" s="228"/>
      <c r="OCZ41" s="228"/>
      <c r="ODA41" s="228"/>
      <c r="ODB41" s="228"/>
      <c r="ODC41" s="226"/>
      <c r="ODD41" s="226"/>
      <c r="ODE41" s="224"/>
      <c r="ODF41" s="225"/>
      <c r="ODG41" s="226"/>
      <c r="ODH41" s="227"/>
      <c r="ODI41" s="228"/>
      <c r="ODJ41" s="228"/>
      <c r="ODK41" s="228"/>
      <c r="ODL41" s="228"/>
      <c r="ODM41" s="228"/>
      <c r="ODN41" s="228"/>
      <c r="ODO41" s="226"/>
      <c r="ODP41" s="226"/>
      <c r="ODQ41" s="224"/>
      <c r="ODR41" s="225"/>
      <c r="ODS41" s="226"/>
      <c r="ODT41" s="227"/>
      <c r="ODU41" s="228"/>
      <c r="ODV41" s="228"/>
      <c r="ODW41" s="228"/>
      <c r="ODX41" s="228"/>
      <c r="ODY41" s="228"/>
      <c r="ODZ41" s="228"/>
      <c r="OEA41" s="226"/>
      <c r="OEB41" s="226"/>
      <c r="OEC41" s="224"/>
      <c r="OED41" s="225"/>
      <c r="OEE41" s="226"/>
      <c r="OEF41" s="227"/>
      <c r="OEG41" s="228"/>
      <c r="OEH41" s="228"/>
      <c r="OEI41" s="228"/>
      <c r="OEJ41" s="228"/>
      <c r="OEK41" s="228"/>
      <c r="OEL41" s="228"/>
      <c r="OEM41" s="226"/>
      <c r="OEN41" s="226"/>
      <c r="OEO41" s="224"/>
      <c r="OEP41" s="225"/>
      <c r="OEQ41" s="226"/>
      <c r="OER41" s="227"/>
      <c r="OES41" s="228"/>
      <c r="OET41" s="228"/>
      <c r="OEU41" s="228"/>
      <c r="OEV41" s="228"/>
      <c r="OEW41" s="228"/>
      <c r="OEX41" s="228"/>
      <c r="OEY41" s="226"/>
      <c r="OEZ41" s="226"/>
      <c r="OFA41" s="224"/>
      <c r="OFB41" s="225"/>
      <c r="OFC41" s="226"/>
      <c r="OFD41" s="227"/>
      <c r="OFE41" s="228"/>
      <c r="OFF41" s="228"/>
      <c r="OFG41" s="228"/>
      <c r="OFH41" s="228"/>
      <c r="OFI41" s="228"/>
      <c r="OFJ41" s="228"/>
      <c r="OFK41" s="226"/>
      <c r="OFL41" s="226"/>
      <c r="OFM41" s="224"/>
      <c r="OFN41" s="225"/>
      <c r="OFO41" s="226"/>
      <c r="OFP41" s="227"/>
      <c r="OFQ41" s="228"/>
      <c r="OFR41" s="228"/>
      <c r="OFS41" s="228"/>
      <c r="OFT41" s="228"/>
      <c r="OFU41" s="228"/>
      <c r="OFV41" s="228"/>
      <c r="OFW41" s="226"/>
      <c r="OFX41" s="226"/>
      <c r="OFY41" s="224"/>
      <c r="OFZ41" s="225"/>
      <c r="OGA41" s="226"/>
      <c r="OGB41" s="227"/>
      <c r="OGC41" s="228"/>
      <c r="OGD41" s="228"/>
      <c r="OGE41" s="228"/>
      <c r="OGF41" s="228"/>
      <c r="OGG41" s="228"/>
      <c r="OGH41" s="228"/>
      <c r="OGI41" s="226"/>
      <c r="OGJ41" s="226"/>
      <c r="OGK41" s="224"/>
      <c r="OGL41" s="225"/>
      <c r="OGM41" s="226"/>
      <c r="OGN41" s="227"/>
      <c r="OGO41" s="228"/>
      <c r="OGP41" s="228"/>
      <c r="OGQ41" s="228"/>
      <c r="OGR41" s="228"/>
      <c r="OGS41" s="228"/>
      <c r="OGT41" s="228"/>
      <c r="OGU41" s="226"/>
      <c r="OGV41" s="226"/>
      <c r="OGW41" s="224"/>
      <c r="OGX41" s="225"/>
      <c r="OGY41" s="226"/>
      <c r="OGZ41" s="227"/>
      <c r="OHA41" s="228"/>
      <c r="OHB41" s="228"/>
      <c r="OHC41" s="228"/>
      <c r="OHD41" s="228"/>
      <c r="OHE41" s="228"/>
      <c r="OHF41" s="228"/>
      <c r="OHG41" s="226"/>
      <c r="OHH41" s="226"/>
      <c r="OHI41" s="224"/>
      <c r="OHJ41" s="225"/>
      <c r="OHK41" s="226"/>
      <c r="OHL41" s="227"/>
      <c r="OHM41" s="228"/>
      <c r="OHN41" s="228"/>
      <c r="OHO41" s="228"/>
      <c r="OHP41" s="228"/>
      <c r="OHQ41" s="228"/>
      <c r="OHR41" s="228"/>
      <c r="OHS41" s="226"/>
      <c r="OHT41" s="226"/>
      <c r="OHU41" s="224"/>
      <c r="OHV41" s="225"/>
      <c r="OHW41" s="226"/>
      <c r="OHX41" s="227"/>
      <c r="OHY41" s="228"/>
      <c r="OHZ41" s="228"/>
      <c r="OIA41" s="228"/>
      <c r="OIB41" s="228"/>
      <c r="OIC41" s="228"/>
      <c r="OID41" s="228"/>
      <c r="OIE41" s="226"/>
      <c r="OIF41" s="226"/>
      <c r="OIG41" s="224"/>
      <c r="OIH41" s="225"/>
      <c r="OII41" s="226"/>
      <c r="OIJ41" s="227"/>
      <c r="OIK41" s="228"/>
      <c r="OIL41" s="228"/>
      <c r="OIM41" s="228"/>
      <c r="OIN41" s="228"/>
      <c r="OIO41" s="228"/>
      <c r="OIP41" s="228"/>
      <c r="OIQ41" s="226"/>
      <c r="OIR41" s="226"/>
      <c r="OIS41" s="224"/>
      <c r="OIT41" s="225"/>
      <c r="OIU41" s="226"/>
      <c r="OIV41" s="227"/>
      <c r="OIW41" s="228"/>
      <c r="OIX41" s="228"/>
      <c r="OIY41" s="228"/>
      <c r="OIZ41" s="228"/>
      <c r="OJA41" s="228"/>
      <c r="OJB41" s="228"/>
      <c r="OJC41" s="226"/>
      <c r="OJD41" s="226"/>
      <c r="OJE41" s="224"/>
      <c r="OJF41" s="225"/>
      <c r="OJG41" s="226"/>
      <c r="OJH41" s="227"/>
      <c r="OJI41" s="228"/>
      <c r="OJJ41" s="228"/>
      <c r="OJK41" s="228"/>
      <c r="OJL41" s="228"/>
      <c r="OJM41" s="228"/>
      <c r="OJN41" s="228"/>
      <c r="OJO41" s="226"/>
      <c r="OJP41" s="226"/>
      <c r="OJQ41" s="224"/>
      <c r="OJR41" s="225"/>
      <c r="OJS41" s="226"/>
      <c r="OJT41" s="227"/>
      <c r="OJU41" s="228"/>
      <c r="OJV41" s="228"/>
      <c r="OJW41" s="228"/>
      <c r="OJX41" s="228"/>
      <c r="OJY41" s="228"/>
      <c r="OJZ41" s="228"/>
      <c r="OKA41" s="226"/>
      <c r="OKB41" s="226"/>
      <c r="OKC41" s="224"/>
      <c r="OKD41" s="225"/>
      <c r="OKE41" s="226"/>
      <c r="OKF41" s="227"/>
      <c r="OKG41" s="228"/>
      <c r="OKH41" s="228"/>
      <c r="OKI41" s="228"/>
      <c r="OKJ41" s="228"/>
      <c r="OKK41" s="228"/>
      <c r="OKL41" s="228"/>
      <c r="OKM41" s="226"/>
      <c r="OKN41" s="226"/>
      <c r="OKO41" s="224"/>
      <c r="OKP41" s="225"/>
      <c r="OKQ41" s="226"/>
      <c r="OKR41" s="227"/>
      <c r="OKS41" s="228"/>
      <c r="OKT41" s="228"/>
      <c r="OKU41" s="228"/>
      <c r="OKV41" s="228"/>
      <c r="OKW41" s="228"/>
      <c r="OKX41" s="228"/>
      <c r="OKY41" s="226"/>
      <c r="OKZ41" s="226"/>
      <c r="OLA41" s="224"/>
      <c r="OLB41" s="225"/>
      <c r="OLC41" s="226"/>
      <c r="OLD41" s="227"/>
      <c r="OLE41" s="228"/>
      <c r="OLF41" s="228"/>
      <c r="OLG41" s="228"/>
      <c r="OLH41" s="228"/>
      <c r="OLI41" s="228"/>
      <c r="OLJ41" s="228"/>
      <c r="OLK41" s="226"/>
      <c r="OLL41" s="226"/>
      <c r="OLM41" s="224"/>
      <c r="OLN41" s="225"/>
      <c r="OLO41" s="226"/>
      <c r="OLP41" s="227"/>
      <c r="OLQ41" s="228"/>
      <c r="OLR41" s="228"/>
      <c r="OLS41" s="228"/>
      <c r="OLT41" s="228"/>
      <c r="OLU41" s="228"/>
      <c r="OLV41" s="228"/>
      <c r="OLW41" s="226"/>
      <c r="OLX41" s="226"/>
      <c r="OLY41" s="224"/>
      <c r="OLZ41" s="225"/>
      <c r="OMA41" s="226"/>
      <c r="OMB41" s="227"/>
      <c r="OMC41" s="228"/>
      <c r="OMD41" s="228"/>
      <c r="OME41" s="228"/>
      <c r="OMF41" s="228"/>
      <c r="OMG41" s="228"/>
      <c r="OMH41" s="228"/>
      <c r="OMI41" s="226"/>
      <c r="OMJ41" s="226"/>
      <c r="OMK41" s="224"/>
      <c r="OML41" s="225"/>
      <c r="OMM41" s="226"/>
      <c r="OMN41" s="227"/>
      <c r="OMO41" s="228"/>
      <c r="OMP41" s="228"/>
      <c r="OMQ41" s="228"/>
      <c r="OMR41" s="228"/>
      <c r="OMS41" s="228"/>
      <c r="OMT41" s="228"/>
      <c r="OMU41" s="226"/>
      <c r="OMV41" s="226"/>
      <c r="OMW41" s="224"/>
      <c r="OMX41" s="225"/>
      <c r="OMY41" s="226"/>
      <c r="OMZ41" s="227"/>
      <c r="ONA41" s="228"/>
      <c r="ONB41" s="228"/>
      <c r="ONC41" s="228"/>
      <c r="OND41" s="228"/>
      <c r="ONE41" s="228"/>
      <c r="ONF41" s="228"/>
      <c r="ONG41" s="226"/>
      <c r="ONH41" s="226"/>
      <c r="ONI41" s="224"/>
      <c r="ONJ41" s="225"/>
      <c r="ONK41" s="226"/>
      <c r="ONL41" s="227"/>
      <c r="ONM41" s="228"/>
      <c r="ONN41" s="228"/>
      <c r="ONO41" s="228"/>
      <c r="ONP41" s="228"/>
      <c r="ONQ41" s="228"/>
      <c r="ONR41" s="228"/>
      <c r="ONS41" s="226"/>
      <c r="ONT41" s="226"/>
      <c r="ONU41" s="224"/>
      <c r="ONV41" s="225"/>
      <c r="ONW41" s="226"/>
      <c r="ONX41" s="227"/>
      <c r="ONY41" s="228"/>
      <c r="ONZ41" s="228"/>
      <c r="OOA41" s="228"/>
      <c r="OOB41" s="228"/>
      <c r="OOC41" s="228"/>
      <c r="OOD41" s="228"/>
      <c r="OOE41" s="226"/>
      <c r="OOF41" s="226"/>
      <c r="OOG41" s="224"/>
      <c r="OOH41" s="225"/>
      <c r="OOI41" s="226"/>
      <c r="OOJ41" s="227"/>
      <c r="OOK41" s="228"/>
      <c r="OOL41" s="228"/>
      <c r="OOM41" s="228"/>
      <c r="OON41" s="228"/>
      <c r="OOO41" s="228"/>
      <c r="OOP41" s="228"/>
      <c r="OOQ41" s="226"/>
      <c r="OOR41" s="226"/>
      <c r="OOS41" s="224"/>
      <c r="OOT41" s="225"/>
      <c r="OOU41" s="226"/>
      <c r="OOV41" s="227"/>
      <c r="OOW41" s="228"/>
      <c r="OOX41" s="228"/>
      <c r="OOY41" s="228"/>
      <c r="OOZ41" s="228"/>
      <c r="OPA41" s="228"/>
      <c r="OPB41" s="228"/>
      <c r="OPC41" s="226"/>
      <c r="OPD41" s="226"/>
      <c r="OPE41" s="224"/>
      <c r="OPF41" s="225"/>
      <c r="OPG41" s="226"/>
      <c r="OPH41" s="227"/>
      <c r="OPI41" s="228"/>
      <c r="OPJ41" s="228"/>
      <c r="OPK41" s="228"/>
      <c r="OPL41" s="228"/>
      <c r="OPM41" s="228"/>
      <c r="OPN41" s="228"/>
      <c r="OPO41" s="226"/>
      <c r="OPP41" s="226"/>
      <c r="OPQ41" s="224"/>
      <c r="OPR41" s="225"/>
      <c r="OPS41" s="226"/>
      <c r="OPT41" s="227"/>
      <c r="OPU41" s="228"/>
      <c r="OPV41" s="228"/>
      <c r="OPW41" s="228"/>
      <c r="OPX41" s="228"/>
      <c r="OPY41" s="228"/>
      <c r="OPZ41" s="228"/>
      <c r="OQA41" s="226"/>
      <c r="OQB41" s="226"/>
      <c r="OQC41" s="224"/>
      <c r="OQD41" s="225"/>
      <c r="OQE41" s="226"/>
      <c r="OQF41" s="227"/>
      <c r="OQG41" s="228"/>
      <c r="OQH41" s="228"/>
      <c r="OQI41" s="228"/>
      <c r="OQJ41" s="228"/>
      <c r="OQK41" s="228"/>
      <c r="OQL41" s="228"/>
      <c r="OQM41" s="226"/>
      <c r="OQN41" s="226"/>
      <c r="OQO41" s="224"/>
      <c r="OQP41" s="225"/>
      <c r="OQQ41" s="226"/>
      <c r="OQR41" s="227"/>
      <c r="OQS41" s="228"/>
      <c r="OQT41" s="228"/>
      <c r="OQU41" s="228"/>
      <c r="OQV41" s="228"/>
      <c r="OQW41" s="228"/>
      <c r="OQX41" s="228"/>
      <c r="OQY41" s="226"/>
      <c r="OQZ41" s="226"/>
      <c r="ORA41" s="224"/>
      <c r="ORB41" s="225"/>
      <c r="ORC41" s="226"/>
      <c r="ORD41" s="227"/>
      <c r="ORE41" s="228"/>
      <c r="ORF41" s="228"/>
      <c r="ORG41" s="228"/>
      <c r="ORH41" s="228"/>
      <c r="ORI41" s="228"/>
      <c r="ORJ41" s="228"/>
      <c r="ORK41" s="226"/>
      <c r="ORL41" s="226"/>
      <c r="ORM41" s="224"/>
      <c r="ORN41" s="225"/>
      <c r="ORO41" s="226"/>
      <c r="ORP41" s="227"/>
      <c r="ORQ41" s="228"/>
      <c r="ORR41" s="228"/>
      <c r="ORS41" s="228"/>
      <c r="ORT41" s="228"/>
      <c r="ORU41" s="228"/>
      <c r="ORV41" s="228"/>
      <c r="ORW41" s="226"/>
      <c r="ORX41" s="226"/>
      <c r="ORY41" s="224"/>
      <c r="ORZ41" s="225"/>
      <c r="OSA41" s="226"/>
      <c r="OSB41" s="227"/>
      <c r="OSC41" s="228"/>
      <c r="OSD41" s="228"/>
      <c r="OSE41" s="228"/>
      <c r="OSF41" s="228"/>
      <c r="OSG41" s="228"/>
      <c r="OSH41" s="228"/>
      <c r="OSI41" s="226"/>
      <c r="OSJ41" s="226"/>
      <c r="OSK41" s="224"/>
      <c r="OSL41" s="225"/>
      <c r="OSM41" s="226"/>
      <c r="OSN41" s="227"/>
      <c r="OSO41" s="228"/>
      <c r="OSP41" s="228"/>
      <c r="OSQ41" s="228"/>
      <c r="OSR41" s="228"/>
      <c r="OSS41" s="228"/>
      <c r="OST41" s="228"/>
      <c r="OSU41" s="226"/>
      <c r="OSV41" s="226"/>
      <c r="OSW41" s="224"/>
      <c r="OSX41" s="225"/>
      <c r="OSY41" s="226"/>
      <c r="OSZ41" s="227"/>
      <c r="OTA41" s="228"/>
      <c r="OTB41" s="228"/>
      <c r="OTC41" s="228"/>
      <c r="OTD41" s="228"/>
      <c r="OTE41" s="228"/>
      <c r="OTF41" s="228"/>
      <c r="OTG41" s="226"/>
      <c r="OTH41" s="226"/>
      <c r="OTI41" s="224"/>
      <c r="OTJ41" s="225"/>
      <c r="OTK41" s="226"/>
      <c r="OTL41" s="227"/>
      <c r="OTM41" s="228"/>
      <c r="OTN41" s="228"/>
      <c r="OTO41" s="228"/>
      <c r="OTP41" s="228"/>
      <c r="OTQ41" s="228"/>
      <c r="OTR41" s="228"/>
      <c r="OTS41" s="226"/>
      <c r="OTT41" s="226"/>
      <c r="OTU41" s="224"/>
      <c r="OTV41" s="225"/>
      <c r="OTW41" s="226"/>
      <c r="OTX41" s="227"/>
      <c r="OTY41" s="228"/>
      <c r="OTZ41" s="228"/>
      <c r="OUA41" s="228"/>
      <c r="OUB41" s="228"/>
      <c r="OUC41" s="228"/>
      <c r="OUD41" s="228"/>
      <c r="OUE41" s="226"/>
      <c r="OUF41" s="226"/>
      <c r="OUG41" s="224"/>
      <c r="OUH41" s="225"/>
      <c r="OUI41" s="226"/>
      <c r="OUJ41" s="227"/>
      <c r="OUK41" s="228"/>
      <c r="OUL41" s="228"/>
      <c r="OUM41" s="228"/>
      <c r="OUN41" s="228"/>
      <c r="OUO41" s="228"/>
      <c r="OUP41" s="228"/>
      <c r="OUQ41" s="226"/>
      <c r="OUR41" s="226"/>
      <c r="OUS41" s="224"/>
      <c r="OUT41" s="225"/>
      <c r="OUU41" s="226"/>
      <c r="OUV41" s="227"/>
      <c r="OUW41" s="228"/>
      <c r="OUX41" s="228"/>
      <c r="OUY41" s="228"/>
      <c r="OUZ41" s="228"/>
      <c r="OVA41" s="228"/>
      <c r="OVB41" s="228"/>
      <c r="OVC41" s="226"/>
      <c r="OVD41" s="226"/>
      <c r="OVE41" s="224"/>
      <c r="OVF41" s="225"/>
      <c r="OVG41" s="226"/>
      <c r="OVH41" s="227"/>
      <c r="OVI41" s="228"/>
      <c r="OVJ41" s="228"/>
      <c r="OVK41" s="228"/>
      <c r="OVL41" s="228"/>
      <c r="OVM41" s="228"/>
      <c r="OVN41" s="228"/>
      <c r="OVO41" s="226"/>
      <c r="OVP41" s="226"/>
      <c r="OVQ41" s="224"/>
      <c r="OVR41" s="225"/>
      <c r="OVS41" s="226"/>
      <c r="OVT41" s="227"/>
      <c r="OVU41" s="228"/>
      <c r="OVV41" s="228"/>
      <c r="OVW41" s="228"/>
      <c r="OVX41" s="228"/>
      <c r="OVY41" s="228"/>
      <c r="OVZ41" s="228"/>
      <c r="OWA41" s="226"/>
      <c r="OWB41" s="226"/>
      <c r="OWC41" s="224"/>
      <c r="OWD41" s="225"/>
      <c r="OWE41" s="226"/>
      <c r="OWF41" s="227"/>
      <c r="OWG41" s="228"/>
      <c r="OWH41" s="228"/>
      <c r="OWI41" s="228"/>
      <c r="OWJ41" s="228"/>
      <c r="OWK41" s="228"/>
      <c r="OWL41" s="228"/>
      <c r="OWM41" s="226"/>
      <c r="OWN41" s="226"/>
      <c r="OWO41" s="224"/>
      <c r="OWP41" s="225"/>
      <c r="OWQ41" s="226"/>
      <c r="OWR41" s="227"/>
      <c r="OWS41" s="228"/>
      <c r="OWT41" s="228"/>
      <c r="OWU41" s="228"/>
      <c r="OWV41" s="228"/>
      <c r="OWW41" s="228"/>
      <c r="OWX41" s="228"/>
      <c r="OWY41" s="226"/>
      <c r="OWZ41" s="226"/>
      <c r="OXA41" s="224"/>
      <c r="OXB41" s="225"/>
      <c r="OXC41" s="226"/>
      <c r="OXD41" s="227"/>
      <c r="OXE41" s="228"/>
      <c r="OXF41" s="228"/>
      <c r="OXG41" s="228"/>
      <c r="OXH41" s="228"/>
      <c r="OXI41" s="228"/>
      <c r="OXJ41" s="228"/>
      <c r="OXK41" s="226"/>
      <c r="OXL41" s="226"/>
      <c r="OXM41" s="224"/>
      <c r="OXN41" s="225"/>
      <c r="OXO41" s="226"/>
      <c r="OXP41" s="227"/>
      <c r="OXQ41" s="228"/>
      <c r="OXR41" s="228"/>
      <c r="OXS41" s="228"/>
      <c r="OXT41" s="228"/>
      <c r="OXU41" s="228"/>
      <c r="OXV41" s="228"/>
      <c r="OXW41" s="226"/>
      <c r="OXX41" s="226"/>
      <c r="OXY41" s="224"/>
      <c r="OXZ41" s="225"/>
      <c r="OYA41" s="226"/>
      <c r="OYB41" s="227"/>
      <c r="OYC41" s="228"/>
      <c r="OYD41" s="228"/>
      <c r="OYE41" s="228"/>
      <c r="OYF41" s="228"/>
      <c r="OYG41" s="228"/>
      <c r="OYH41" s="228"/>
      <c r="OYI41" s="226"/>
      <c r="OYJ41" s="226"/>
      <c r="OYK41" s="224"/>
      <c r="OYL41" s="225"/>
      <c r="OYM41" s="226"/>
      <c r="OYN41" s="227"/>
      <c r="OYO41" s="228"/>
      <c r="OYP41" s="228"/>
      <c r="OYQ41" s="228"/>
      <c r="OYR41" s="228"/>
      <c r="OYS41" s="228"/>
      <c r="OYT41" s="228"/>
      <c r="OYU41" s="226"/>
      <c r="OYV41" s="226"/>
      <c r="OYW41" s="224"/>
      <c r="OYX41" s="225"/>
      <c r="OYY41" s="226"/>
      <c r="OYZ41" s="227"/>
      <c r="OZA41" s="228"/>
      <c r="OZB41" s="228"/>
      <c r="OZC41" s="228"/>
      <c r="OZD41" s="228"/>
      <c r="OZE41" s="228"/>
      <c r="OZF41" s="228"/>
      <c r="OZG41" s="226"/>
      <c r="OZH41" s="226"/>
      <c r="OZI41" s="224"/>
      <c r="OZJ41" s="225"/>
      <c r="OZK41" s="226"/>
      <c r="OZL41" s="227"/>
      <c r="OZM41" s="228"/>
      <c r="OZN41" s="228"/>
      <c r="OZO41" s="228"/>
      <c r="OZP41" s="228"/>
      <c r="OZQ41" s="228"/>
      <c r="OZR41" s="228"/>
      <c r="OZS41" s="226"/>
      <c r="OZT41" s="226"/>
      <c r="OZU41" s="224"/>
      <c r="OZV41" s="225"/>
      <c r="OZW41" s="226"/>
      <c r="OZX41" s="227"/>
      <c r="OZY41" s="228"/>
      <c r="OZZ41" s="228"/>
      <c r="PAA41" s="228"/>
      <c r="PAB41" s="228"/>
      <c r="PAC41" s="228"/>
      <c r="PAD41" s="228"/>
      <c r="PAE41" s="226"/>
      <c r="PAF41" s="226"/>
      <c r="PAG41" s="224"/>
      <c r="PAH41" s="225"/>
      <c r="PAI41" s="226"/>
      <c r="PAJ41" s="227"/>
      <c r="PAK41" s="228"/>
      <c r="PAL41" s="228"/>
      <c r="PAM41" s="228"/>
      <c r="PAN41" s="228"/>
      <c r="PAO41" s="228"/>
      <c r="PAP41" s="228"/>
      <c r="PAQ41" s="226"/>
      <c r="PAR41" s="226"/>
      <c r="PAS41" s="224"/>
      <c r="PAT41" s="225"/>
      <c r="PAU41" s="226"/>
      <c r="PAV41" s="227"/>
      <c r="PAW41" s="228"/>
      <c r="PAX41" s="228"/>
      <c r="PAY41" s="228"/>
      <c r="PAZ41" s="228"/>
      <c r="PBA41" s="228"/>
      <c r="PBB41" s="228"/>
      <c r="PBC41" s="226"/>
      <c r="PBD41" s="226"/>
      <c r="PBE41" s="224"/>
      <c r="PBF41" s="225"/>
      <c r="PBG41" s="226"/>
      <c r="PBH41" s="227"/>
      <c r="PBI41" s="228"/>
      <c r="PBJ41" s="228"/>
      <c r="PBK41" s="228"/>
      <c r="PBL41" s="228"/>
      <c r="PBM41" s="228"/>
      <c r="PBN41" s="228"/>
      <c r="PBO41" s="226"/>
      <c r="PBP41" s="226"/>
      <c r="PBQ41" s="224"/>
      <c r="PBR41" s="225"/>
      <c r="PBS41" s="226"/>
      <c r="PBT41" s="227"/>
      <c r="PBU41" s="228"/>
      <c r="PBV41" s="228"/>
      <c r="PBW41" s="228"/>
      <c r="PBX41" s="228"/>
      <c r="PBY41" s="228"/>
      <c r="PBZ41" s="228"/>
      <c r="PCA41" s="226"/>
      <c r="PCB41" s="226"/>
      <c r="PCC41" s="224"/>
      <c r="PCD41" s="225"/>
      <c r="PCE41" s="226"/>
      <c r="PCF41" s="227"/>
      <c r="PCG41" s="228"/>
      <c r="PCH41" s="228"/>
      <c r="PCI41" s="228"/>
      <c r="PCJ41" s="228"/>
      <c r="PCK41" s="228"/>
      <c r="PCL41" s="228"/>
      <c r="PCM41" s="226"/>
      <c r="PCN41" s="226"/>
      <c r="PCO41" s="224"/>
      <c r="PCP41" s="225"/>
      <c r="PCQ41" s="226"/>
      <c r="PCR41" s="227"/>
      <c r="PCS41" s="228"/>
      <c r="PCT41" s="228"/>
      <c r="PCU41" s="228"/>
      <c r="PCV41" s="228"/>
      <c r="PCW41" s="228"/>
      <c r="PCX41" s="228"/>
      <c r="PCY41" s="226"/>
      <c r="PCZ41" s="226"/>
      <c r="PDA41" s="224"/>
      <c r="PDB41" s="225"/>
      <c r="PDC41" s="226"/>
      <c r="PDD41" s="227"/>
      <c r="PDE41" s="228"/>
      <c r="PDF41" s="228"/>
      <c r="PDG41" s="228"/>
      <c r="PDH41" s="228"/>
      <c r="PDI41" s="228"/>
      <c r="PDJ41" s="228"/>
      <c r="PDK41" s="226"/>
      <c r="PDL41" s="226"/>
      <c r="PDM41" s="224"/>
      <c r="PDN41" s="225"/>
      <c r="PDO41" s="226"/>
      <c r="PDP41" s="227"/>
      <c r="PDQ41" s="228"/>
      <c r="PDR41" s="228"/>
      <c r="PDS41" s="228"/>
      <c r="PDT41" s="228"/>
      <c r="PDU41" s="228"/>
      <c r="PDV41" s="228"/>
      <c r="PDW41" s="226"/>
      <c r="PDX41" s="226"/>
      <c r="PDY41" s="224"/>
      <c r="PDZ41" s="225"/>
      <c r="PEA41" s="226"/>
      <c r="PEB41" s="227"/>
      <c r="PEC41" s="228"/>
      <c r="PED41" s="228"/>
      <c r="PEE41" s="228"/>
      <c r="PEF41" s="228"/>
      <c r="PEG41" s="228"/>
      <c r="PEH41" s="228"/>
      <c r="PEI41" s="226"/>
      <c r="PEJ41" s="226"/>
      <c r="PEK41" s="224"/>
      <c r="PEL41" s="225"/>
      <c r="PEM41" s="226"/>
      <c r="PEN41" s="227"/>
      <c r="PEO41" s="228"/>
      <c r="PEP41" s="228"/>
      <c r="PEQ41" s="228"/>
      <c r="PER41" s="228"/>
      <c r="PES41" s="228"/>
      <c r="PET41" s="228"/>
      <c r="PEU41" s="226"/>
      <c r="PEV41" s="226"/>
      <c r="PEW41" s="224"/>
      <c r="PEX41" s="225"/>
      <c r="PEY41" s="226"/>
      <c r="PEZ41" s="227"/>
      <c r="PFA41" s="228"/>
      <c r="PFB41" s="228"/>
      <c r="PFC41" s="228"/>
      <c r="PFD41" s="228"/>
      <c r="PFE41" s="228"/>
      <c r="PFF41" s="228"/>
      <c r="PFG41" s="226"/>
      <c r="PFH41" s="226"/>
      <c r="PFI41" s="224"/>
      <c r="PFJ41" s="225"/>
      <c r="PFK41" s="226"/>
      <c r="PFL41" s="227"/>
      <c r="PFM41" s="228"/>
      <c r="PFN41" s="228"/>
      <c r="PFO41" s="228"/>
      <c r="PFP41" s="228"/>
      <c r="PFQ41" s="228"/>
      <c r="PFR41" s="228"/>
      <c r="PFS41" s="226"/>
      <c r="PFT41" s="226"/>
      <c r="PFU41" s="224"/>
      <c r="PFV41" s="225"/>
      <c r="PFW41" s="226"/>
      <c r="PFX41" s="227"/>
      <c r="PFY41" s="228"/>
      <c r="PFZ41" s="228"/>
      <c r="PGA41" s="228"/>
      <c r="PGB41" s="228"/>
      <c r="PGC41" s="228"/>
      <c r="PGD41" s="228"/>
      <c r="PGE41" s="226"/>
      <c r="PGF41" s="226"/>
      <c r="PGG41" s="224"/>
      <c r="PGH41" s="225"/>
      <c r="PGI41" s="226"/>
      <c r="PGJ41" s="227"/>
      <c r="PGK41" s="228"/>
      <c r="PGL41" s="228"/>
      <c r="PGM41" s="228"/>
      <c r="PGN41" s="228"/>
      <c r="PGO41" s="228"/>
      <c r="PGP41" s="228"/>
      <c r="PGQ41" s="226"/>
      <c r="PGR41" s="226"/>
      <c r="PGS41" s="224"/>
      <c r="PGT41" s="225"/>
      <c r="PGU41" s="226"/>
      <c r="PGV41" s="227"/>
      <c r="PGW41" s="228"/>
      <c r="PGX41" s="228"/>
      <c r="PGY41" s="228"/>
      <c r="PGZ41" s="228"/>
      <c r="PHA41" s="228"/>
      <c r="PHB41" s="228"/>
      <c r="PHC41" s="226"/>
      <c r="PHD41" s="226"/>
      <c r="PHE41" s="224"/>
      <c r="PHF41" s="225"/>
      <c r="PHG41" s="226"/>
      <c r="PHH41" s="227"/>
      <c r="PHI41" s="228"/>
      <c r="PHJ41" s="228"/>
      <c r="PHK41" s="228"/>
      <c r="PHL41" s="228"/>
      <c r="PHM41" s="228"/>
      <c r="PHN41" s="228"/>
      <c r="PHO41" s="226"/>
      <c r="PHP41" s="226"/>
      <c r="PHQ41" s="224"/>
      <c r="PHR41" s="225"/>
      <c r="PHS41" s="226"/>
      <c r="PHT41" s="227"/>
      <c r="PHU41" s="228"/>
      <c r="PHV41" s="228"/>
      <c r="PHW41" s="228"/>
      <c r="PHX41" s="228"/>
      <c r="PHY41" s="228"/>
      <c r="PHZ41" s="228"/>
      <c r="PIA41" s="226"/>
      <c r="PIB41" s="226"/>
      <c r="PIC41" s="224"/>
      <c r="PID41" s="225"/>
      <c r="PIE41" s="226"/>
      <c r="PIF41" s="227"/>
      <c r="PIG41" s="228"/>
      <c r="PIH41" s="228"/>
      <c r="PII41" s="228"/>
      <c r="PIJ41" s="228"/>
      <c r="PIK41" s="228"/>
      <c r="PIL41" s="228"/>
      <c r="PIM41" s="226"/>
      <c r="PIN41" s="226"/>
      <c r="PIO41" s="224"/>
      <c r="PIP41" s="225"/>
      <c r="PIQ41" s="226"/>
      <c r="PIR41" s="227"/>
      <c r="PIS41" s="228"/>
      <c r="PIT41" s="228"/>
      <c r="PIU41" s="228"/>
      <c r="PIV41" s="228"/>
      <c r="PIW41" s="228"/>
      <c r="PIX41" s="228"/>
      <c r="PIY41" s="226"/>
      <c r="PIZ41" s="226"/>
      <c r="PJA41" s="224"/>
      <c r="PJB41" s="225"/>
      <c r="PJC41" s="226"/>
      <c r="PJD41" s="227"/>
      <c r="PJE41" s="228"/>
      <c r="PJF41" s="228"/>
      <c r="PJG41" s="228"/>
      <c r="PJH41" s="228"/>
      <c r="PJI41" s="228"/>
      <c r="PJJ41" s="228"/>
      <c r="PJK41" s="226"/>
      <c r="PJL41" s="226"/>
      <c r="PJM41" s="224"/>
      <c r="PJN41" s="225"/>
      <c r="PJO41" s="226"/>
      <c r="PJP41" s="227"/>
      <c r="PJQ41" s="228"/>
      <c r="PJR41" s="228"/>
      <c r="PJS41" s="228"/>
      <c r="PJT41" s="228"/>
      <c r="PJU41" s="228"/>
      <c r="PJV41" s="228"/>
      <c r="PJW41" s="226"/>
      <c r="PJX41" s="226"/>
      <c r="PJY41" s="224"/>
      <c r="PJZ41" s="225"/>
      <c r="PKA41" s="226"/>
      <c r="PKB41" s="227"/>
      <c r="PKC41" s="228"/>
      <c r="PKD41" s="228"/>
      <c r="PKE41" s="228"/>
      <c r="PKF41" s="228"/>
      <c r="PKG41" s="228"/>
      <c r="PKH41" s="228"/>
      <c r="PKI41" s="226"/>
      <c r="PKJ41" s="226"/>
      <c r="PKK41" s="224"/>
      <c r="PKL41" s="225"/>
      <c r="PKM41" s="226"/>
      <c r="PKN41" s="227"/>
      <c r="PKO41" s="228"/>
      <c r="PKP41" s="228"/>
      <c r="PKQ41" s="228"/>
      <c r="PKR41" s="228"/>
      <c r="PKS41" s="228"/>
      <c r="PKT41" s="228"/>
      <c r="PKU41" s="226"/>
      <c r="PKV41" s="226"/>
      <c r="PKW41" s="224"/>
      <c r="PKX41" s="225"/>
      <c r="PKY41" s="226"/>
      <c r="PKZ41" s="227"/>
      <c r="PLA41" s="228"/>
      <c r="PLB41" s="228"/>
      <c r="PLC41" s="228"/>
      <c r="PLD41" s="228"/>
      <c r="PLE41" s="228"/>
      <c r="PLF41" s="228"/>
      <c r="PLG41" s="226"/>
      <c r="PLH41" s="226"/>
      <c r="PLI41" s="224"/>
      <c r="PLJ41" s="225"/>
      <c r="PLK41" s="226"/>
      <c r="PLL41" s="227"/>
      <c r="PLM41" s="228"/>
      <c r="PLN41" s="228"/>
      <c r="PLO41" s="228"/>
      <c r="PLP41" s="228"/>
      <c r="PLQ41" s="228"/>
      <c r="PLR41" s="228"/>
      <c r="PLS41" s="226"/>
      <c r="PLT41" s="226"/>
      <c r="PLU41" s="224"/>
      <c r="PLV41" s="225"/>
      <c r="PLW41" s="226"/>
      <c r="PLX41" s="227"/>
      <c r="PLY41" s="228"/>
      <c r="PLZ41" s="228"/>
      <c r="PMA41" s="228"/>
      <c r="PMB41" s="228"/>
      <c r="PMC41" s="228"/>
      <c r="PMD41" s="228"/>
      <c r="PME41" s="226"/>
      <c r="PMF41" s="226"/>
      <c r="PMG41" s="224"/>
      <c r="PMH41" s="225"/>
      <c r="PMI41" s="226"/>
      <c r="PMJ41" s="227"/>
      <c r="PMK41" s="228"/>
      <c r="PML41" s="228"/>
      <c r="PMM41" s="228"/>
      <c r="PMN41" s="228"/>
      <c r="PMO41" s="228"/>
      <c r="PMP41" s="228"/>
      <c r="PMQ41" s="226"/>
      <c r="PMR41" s="226"/>
      <c r="PMS41" s="224"/>
      <c r="PMT41" s="225"/>
      <c r="PMU41" s="226"/>
      <c r="PMV41" s="227"/>
      <c r="PMW41" s="228"/>
      <c r="PMX41" s="228"/>
      <c r="PMY41" s="228"/>
      <c r="PMZ41" s="228"/>
      <c r="PNA41" s="228"/>
      <c r="PNB41" s="228"/>
      <c r="PNC41" s="226"/>
      <c r="PND41" s="226"/>
      <c r="PNE41" s="224"/>
      <c r="PNF41" s="225"/>
      <c r="PNG41" s="226"/>
      <c r="PNH41" s="227"/>
      <c r="PNI41" s="228"/>
      <c r="PNJ41" s="228"/>
      <c r="PNK41" s="228"/>
      <c r="PNL41" s="228"/>
      <c r="PNM41" s="228"/>
      <c r="PNN41" s="228"/>
      <c r="PNO41" s="226"/>
      <c r="PNP41" s="226"/>
      <c r="PNQ41" s="224"/>
      <c r="PNR41" s="225"/>
      <c r="PNS41" s="226"/>
      <c r="PNT41" s="227"/>
      <c r="PNU41" s="228"/>
      <c r="PNV41" s="228"/>
      <c r="PNW41" s="228"/>
      <c r="PNX41" s="228"/>
      <c r="PNY41" s="228"/>
      <c r="PNZ41" s="228"/>
      <c r="POA41" s="226"/>
      <c r="POB41" s="226"/>
      <c r="POC41" s="224"/>
      <c r="POD41" s="225"/>
      <c r="POE41" s="226"/>
      <c r="POF41" s="227"/>
      <c r="POG41" s="228"/>
      <c r="POH41" s="228"/>
      <c r="POI41" s="228"/>
      <c r="POJ41" s="228"/>
      <c r="POK41" s="228"/>
      <c r="POL41" s="228"/>
      <c r="POM41" s="226"/>
      <c r="PON41" s="226"/>
      <c r="POO41" s="224"/>
      <c r="POP41" s="225"/>
      <c r="POQ41" s="226"/>
      <c r="POR41" s="227"/>
      <c r="POS41" s="228"/>
      <c r="POT41" s="228"/>
      <c r="POU41" s="228"/>
      <c r="POV41" s="228"/>
      <c r="POW41" s="228"/>
      <c r="POX41" s="228"/>
      <c r="POY41" s="226"/>
      <c r="POZ41" s="226"/>
      <c r="PPA41" s="224"/>
      <c r="PPB41" s="225"/>
      <c r="PPC41" s="226"/>
      <c r="PPD41" s="227"/>
      <c r="PPE41" s="228"/>
      <c r="PPF41" s="228"/>
      <c r="PPG41" s="228"/>
      <c r="PPH41" s="228"/>
      <c r="PPI41" s="228"/>
      <c r="PPJ41" s="228"/>
      <c r="PPK41" s="226"/>
      <c r="PPL41" s="226"/>
      <c r="PPM41" s="224"/>
      <c r="PPN41" s="225"/>
      <c r="PPO41" s="226"/>
      <c r="PPP41" s="227"/>
      <c r="PPQ41" s="228"/>
      <c r="PPR41" s="228"/>
      <c r="PPS41" s="228"/>
      <c r="PPT41" s="228"/>
      <c r="PPU41" s="228"/>
      <c r="PPV41" s="228"/>
      <c r="PPW41" s="226"/>
      <c r="PPX41" s="226"/>
      <c r="PPY41" s="224"/>
      <c r="PPZ41" s="225"/>
      <c r="PQA41" s="226"/>
      <c r="PQB41" s="227"/>
      <c r="PQC41" s="228"/>
      <c r="PQD41" s="228"/>
      <c r="PQE41" s="228"/>
      <c r="PQF41" s="228"/>
      <c r="PQG41" s="228"/>
      <c r="PQH41" s="228"/>
      <c r="PQI41" s="226"/>
      <c r="PQJ41" s="226"/>
      <c r="PQK41" s="224"/>
      <c r="PQL41" s="225"/>
      <c r="PQM41" s="226"/>
      <c r="PQN41" s="227"/>
      <c r="PQO41" s="228"/>
      <c r="PQP41" s="228"/>
      <c r="PQQ41" s="228"/>
      <c r="PQR41" s="228"/>
      <c r="PQS41" s="228"/>
      <c r="PQT41" s="228"/>
      <c r="PQU41" s="226"/>
      <c r="PQV41" s="226"/>
      <c r="PQW41" s="224"/>
      <c r="PQX41" s="225"/>
      <c r="PQY41" s="226"/>
      <c r="PQZ41" s="227"/>
      <c r="PRA41" s="228"/>
      <c r="PRB41" s="228"/>
      <c r="PRC41" s="228"/>
      <c r="PRD41" s="228"/>
      <c r="PRE41" s="228"/>
      <c r="PRF41" s="228"/>
      <c r="PRG41" s="226"/>
      <c r="PRH41" s="226"/>
      <c r="PRI41" s="224"/>
      <c r="PRJ41" s="225"/>
      <c r="PRK41" s="226"/>
      <c r="PRL41" s="227"/>
      <c r="PRM41" s="228"/>
      <c r="PRN41" s="228"/>
      <c r="PRO41" s="228"/>
      <c r="PRP41" s="228"/>
      <c r="PRQ41" s="228"/>
      <c r="PRR41" s="228"/>
      <c r="PRS41" s="226"/>
      <c r="PRT41" s="226"/>
      <c r="PRU41" s="224"/>
      <c r="PRV41" s="225"/>
      <c r="PRW41" s="226"/>
      <c r="PRX41" s="227"/>
      <c r="PRY41" s="228"/>
      <c r="PRZ41" s="228"/>
      <c r="PSA41" s="228"/>
      <c r="PSB41" s="228"/>
      <c r="PSC41" s="228"/>
      <c r="PSD41" s="228"/>
      <c r="PSE41" s="226"/>
      <c r="PSF41" s="226"/>
      <c r="PSG41" s="224"/>
      <c r="PSH41" s="225"/>
      <c r="PSI41" s="226"/>
      <c r="PSJ41" s="227"/>
      <c r="PSK41" s="228"/>
      <c r="PSL41" s="228"/>
      <c r="PSM41" s="228"/>
      <c r="PSN41" s="228"/>
      <c r="PSO41" s="228"/>
      <c r="PSP41" s="228"/>
      <c r="PSQ41" s="226"/>
      <c r="PSR41" s="226"/>
      <c r="PSS41" s="224"/>
      <c r="PST41" s="225"/>
      <c r="PSU41" s="226"/>
      <c r="PSV41" s="227"/>
      <c r="PSW41" s="228"/>
      <c r="PSX41" s="228"/>
      <c r="PSY41" s="228"/>
      <c r="PSZ41" s="228"/>
      <c r="PTA41" s="228"/>
      <c r="PTB41" s="228"/>
      <c r="PTC41" s="226"/>
      <c r="PTD41" s="226"/>
      <c r="PTE41" s="224"/>
      <c r="PTF41" s="225"/>
      <c r="PTG41" s="226"/>
      <c r="PTH41" s="227"/>
      <c r="PTI41" s="228"/>
      <c r="PTJ41" s="228"/>
      <c r="PTK41" s="228"/>
      <c r="PTL41" s="228"/>
      <c r="PTM41" s="228"/>
      <c r="PTN41" s="228"/>
      <c r="PTO41" s="226"/>
      <c r="PTP41" s="226"/>
      <c r="PTQ41" s="224"/>
      <c r="PTR41" s="225"/>
      <c r="PTS41" s="226"/>
      <c r="PTT41" s="227"/>
      <c r="PTU41" s="228"/>
      <c r="PTV41" s="228"/>
      <c r="PTW41" s="228"/>
      <c r="PTX41" s="228"/>
      <c r="PTY41" s="228"/>
      <c r="PTZ41" s="228"/>
      <c r="PUA41" s="226"/>
      <c r="PUB41" s="226"/>
      <c r="PUC41" s="224"/>
      <c r="PUD41" s="225"/>
      <c r="PUE41" s="226"/>
      <c r="PUF41" s="227"/>
      <c r="PUG41" s="228"/>
      <c r="PUH41" s="228"/>
      <c r="PUI41" s="228"/>
      <c r="PUJ41" s="228"/>
      <c r="PUK41" s="228"/>
      <c r="PUL41" s="228"/>
      <c r="PUM41" s="226"/>
      <c r="PUN41" s="226"/>
      <c r="PUO41" s="224"/>
      <c r="PUP41" s="225"/>
      <c r="PUQ41" s="226"/>
      <c r="PUR41" s="227"/>
      <c r="PUS41" s="228"/>
      <c r="PUT41" s="228"/>
      <c r="PUU41" s="228"/>
      <c r="PUV41" s="228"/>
      <c r="PUW41" s="228"/>
      <c r="PUX41" s="228"/>
      <c r="PUY41" s="226"/>
      <c r="PUZ41" s="226"/>
      <c r="PVA41" s="224"/>
      <c r="PVB41" s="225"/>
      <c r="PVC41" s="226"/>
      <c r="PVD41" s="227"/>
      <c r="PVE41" s="228"/>
      <c r="PVF41" s="228"/>
      <c r="PVG41" s="228"/>
      <c r="PVH41" s="228"/>
      <c r="PVI41" s="228"/>
      <c r="PVJ41" s="228"/>
      <c r="PVK41" s="226"/>
      <c r="PVL41" s="226"/>
      <c r="PVM41" s="224"/>
      <c r="PVN41" s="225"/>
      <c r="PVO41" s="226"/>
      <c r="PVP41" s="227"/>
      <c r="PVQ41" s="228"/>
      <c r="PVR41" s="228"/>
      <c r="PVS41" s="228"/>
      <c r="PVT41" s="228"/>
      <c r="PVU41" s="228"/>
      <c r="PVV41" s="228"/>
      <c r="PVW41" s="226"/>
      <c r="PVX41" s="226"/>
      <c r="PVY41" s="224"/>
      <c r="PVZ41" s="225"/>
      <c r="PWA41" s="226"/>
      <c r="PWB41" s="227"/>
      <c r="PWC41" s="228"/>
      <c r="PWD41" s="228"/>
      <c r="PWE41" s="228"/>
      <c r="PWF41" s="228"/>
      <c r="PWG41" s="228"/>
      <c r="PWH41" s="228"/>
      <c r="PWI41" s="226"/>
      <c r="PWJ41" s="226"/>
      <c r="PWK41" s="224"/>
      <c r="PWL41" s="225"/>
      <c r="PWM41" s="226"/>
      <c r="PWN41" s="227"/>
      <c r="PWO41" s="228"/>
      <c r="PWP41" s="228"/>
      <c r="PWQ41" s="228"/>
      <c r="PWR41" s="228"/>
      <c r="PWS41" s="228"/>
      <c r="PWT41" s="228"/>
      <c r="PWU41" s="226"/>
      <c r="PWV41" s="226"/>
      <c r="PWW41" s="224"/>
      <c r="PWX41" s="225"/>
      <c r="PWY41" s="226"/>
      <c r="PWZ41" s="227"/>
      <c r="PXA41" s="228"/>
      <c r="PXB41" s="228"/>
      <c r="PXC41" s="228"/>
      <c r="PXD41" s="228"/>
      <c r="PXE41" s="228"/>
      <c r="PXF41" s="228"/>
      <c r="PXG41" s="226"/>
      <c r="PXH41" s="226"/>
      <c r="PXI41" s="224"/>
      <c r="PXJ41" s="225"/>
      <c r="PXK41" s="226"/>
      <c r="PXL41" s="227"/>
      <c r="PXM41" s="228"/>
      <c r="PXN41" s="228"/>
      <c r="PXO41" s="228"/>
      <c r="PXP41" s="228"/>
      <c r="PXQ41" s="228"/>
      <c r="PXR41" s="228"/>
      <c r="PXS41" s="226"/>
      <c r="PXT41" s="226"/>
      <c r="PXU41" s="224"/>
      <c r="PXV41" s="225"/>
      <c r="PXW41" s="226"/>
      <c r="PXX41" s="227"/>
      <c r="PXY41" s="228"/>
      <c r="PXZ41" s="228"/>
      <c r="PYA41" s="228"/>
      <c r="PYB41" s="228"/>
      <c r="PYC41" s="228"/>
      <c r="PYD41" s="228"/>
      <c r="PYE41" s="226"/>
      <c r="PYF41" s="226"/>
      <c r="PYG41" s="224"/>
      <c r="PYH41" s="225"/>
      <c r="PYI41" s="226"/>
      <c r="PYJ41" s="227"/>
      <c r="PYK41" s="228"/>
      <c r="PYL41" s="228"/>
      <c r="PYM41" s="228"/>
      <c r="PYN41" s="228"/>
      <c r="PYO41" s="228"/>
      <c r="PYP41" s="228"/>
      <c r="PYQ41" s="226"/>
      <c r="PYR41" s="226"/>
      <c r="PYS41" s="224"/>
      <c r="PYT41" s="225"/>
      <c r="PYU41" s="226"/>
      <c r="PYV41" s="227"/>
      <c r="PYW41" s="228"/>
      <c r="PYX41" s="228"/>
      <c r="PYY41" s="228"/>
      <c r="PYZ41" s="228"/>
      <c r="PZA41" s="228"/>
      <c r="PZB41" s="228"/>
      <c r="PZC41" s="226"/>
      <c r="PZD41" s="226"/>
      <c r="PZE41" s="224"/>
      <c r="PZF41" s="225"/>
      <c r="PZG41" s="226"/>
      <c r="PZH41" s="227"/>
      <c r="PZI41" s="228"/>
      <c r="PZJ41" s="228"/>
      <c r="PZK41" s="228"/>
      <c r="PZL41" s="228"/>
      <c r="PZM41" s="228"/>
      <c r="PZN41" s="228"/>
      <c r="PZO41" s="226"/>
      <c r="PZP41" s="226"/>
      <c r="PZQ41" s="224"/>
      <c r="PZR41" s="225"/>
      <c r="PZS41" s="226"/>
      <c r="PZT41" s="227"/>
      <c r="PZU41" s="228"/>
      <c r="PZV41" s="228"/>
      <c r="PZW41" s="228"/>
      <c r="PZX41" s="228"/>
      <c r="PZY41" s="228"/>
      <c r="PZZ41" s="228"/>
      <c r="QAA41" s="226"/>
      <c r="QAB41" s="226"/>
      <c r="QAC41" s="224"/>
      <c r="QAD41" s="225"/>
      <c r="QAE41" s="226"/>
      <c r="QAF41" s="227"/>
      <c r="QAG41" s="228"/>
      <c r="QAH41" s="228"/>
      <c r="QAI41" s="228"/>
      <c r="QAJ41" s="228"/>
      <c r="QAK41" s="228"/>
      <c r="QAL41" s="228"/>
      <c r="QAM41" s="226"/>
      <c r="QAN41" s="226"/>
      <c r="QAO41" s="224"/>
      <c r="QAP41" s="225"/>
      <c r="QAQ41" s="226"/>
      <c r="QAR41" s="227"/>
      <c r="QAS41" s="228"/>
      <c r="QAT41" s="228"/>
      <c r="QAU41" s="228"/>
      <c r="QAV41" s="228"/>
      <c r="QAW41" s="228"/>
      <c r="QAX41" s="228"/>
      <c r="QAY41" s="226"/>
      <c r="QAZ41" s="226"/>
      <c r="QBA41" s="224"/>
      <c r="QBB41" s="225"/>
      <c r="QBC41" s="226"/>
      <c r="QBD41" s="227"/>
      <c r="QBE41" s="228"/>
      <c r="QBF41" s="228"/>
      <c r="QBG41" s="228"/>
      <c r="QBH41" s="228"/>
      <c r="QBI41" s="228"/>
      <c r="QBJ41" s="228"/>
      <c r="QBK41" s="226"/>
      <c r="QBL41" s="226"/>
      <c r="QBM41" s="224"/>
      <c r="QBN41" s="225"/>
      <c r="QBO41" s="226"/>
      <c r="QBP41" s="227"/>
      <c r="QBQ41" s="228"/>
      <c r="QBR41" s="228"/>
      <c r="QBS41" s="228"/>
      <c r="QBT41" s="228"/>
      <c r="QBU41" s="228"/>
      <c r="QBV41" s="228"/>
      <c r="QBW41" s="226"/>
      <c r="QBX41" s="226"/>
      <c r="QBY41" s="224"/>
      <c r="QBZ41" s="225"/>
      <c r="QCA41" s="226"/>
      <c r="QCB41" s="227"/>
      <c r="QCC41" s="228"/>
      <c r="QCD41" s="228"/>
      <c r="QCE41" s="228"/>
      <c r="QCF41" s="228"/>
      <c r="QCG41" s="228"/>
      <c r="QCH41" s="228"/>
      <c r="QCI41" s="226"/>
      <c r="QCJ41" s="226"/>
      <c r="QCK41" s="224"/>
      <c r="QCL41" s="225"/>
      <c r="QCM41" s="226"/>
      <c r="QCN41" s="227"/>
      <c r="QCO41" s="228"/>
      <c r="QCP41" s="228"/>
      <c r="QCQ41" s="228"/>
      <c r="QCR41" s="228"/>
      <c r="QCS41" s="228"/>
      <c r="QCT41" s="228"/>
      <c r="QCU41" s="226"/>
      <c r="QCV41" s="226"/>
      <c r="QCW41" s="224"/>
      <c r="QCX41" s="225"/>
      <c r="QCY41" s="226"/>
      <c r="QCZ41" s="227"/>
      <c r="QDA41" s="228"/>
      <c r="QDB41" s="228"/>
      <c r="QDC41" s="228"/>
      <c r="QDD41" s="228"/>
      <c r="QDE41" s="228"/>
      <c r="QDF41" s="228"/>
      <c r="QDG41" s="226"/>
      <c r="QDH41" s="226"/>
      <c r="QDI41" s="224"/>
      <c r="QDJ41" s="225"/>
      <c r="QDK41" s="226"/>
      <c r="QDL41" s="227"/>
      <c r="QDM41" s="228"/>
      <c r="QDN41" s="228"/>
      <c r="QDO41" s="228"/>
      <c r="QDP41" s="228"/>
      <c r="QDQ41" s="228"/>
      <c r="QDR41" s="228"/>
      <c r="QDS41" s="226"/>
      <c r="QDT41" s="226"/>
      <c r="QDU41" s="224"/>
      <c r="QDV41" s="225"/>
      <c r="QDW41" s="226"/>
      <c r="QDX41" s="227"/>
      <c r="QDY41" s="228"/>
      <c r="QDZ41" s="228"/>
      <c r="QEA41" s="228"/>
      <c r="QEB41" s="228"/>
      <c r="QEC41" s="228"/>
      <c r="QED41" s="228"/>
      <c r="QEE41" s="226"/>
      <c r="QEF41" s="226"/>
      <c r="QEG41" s="224"/>
      <c r="QEH41" s="225"/>
      <c r="QEI41" s="226"/>
      <c r="QEJ41" s="227"/>
      <c r="QEK41" s="228"/>
      <c r="QEL41" s="228"/>
      <c r="QEM41" s="228"/>
      <c r="QEN41" s="228"/>
      <c r="QEO41" s="228"/>
      <c r="QEP41" s="228"/>
      <c r="QEQ41" s="226"/>
      <c r="QER41" s="226"/>
      <c r="QES41" s="224"/>
      <c r="QET41" s="225"/>
      <c r="QEU41" s="226"/>
      <c r="QEV41" s="227"/>
      <c r="QEW41" s="228"/>
      <c r="QEX41" s="228"/>
      <c r="QEY41" s="228"/>
      <c r="QEZ41" s="228"/>
      <c r="QFA41" s="228"/>
      <c r="QFB41" s="228"/>
      <c r="QFC41" s="226"/>
      <c r="QFD41" s="226"/>
      <c r="QFE41" s="224"/>
      <c r="QFF41" s="225"/>
      <c r="QFG41" s="226"/>
      <c r="QFH41" s="227"/>
      <c r="QFI41" s="228"/>
      <c r="QFJ41" s="228"/>
      <c r="QFK41" s="228"/>
      <c r="QFL41" s="228"/>
      <c r="QFM41" s="228"/>
      <c r="QFN41" s="228"/>
      <c r="QFO41" s="226"/>
      <c r="QFP41" s="226"/>
      <c r="QFQ41" s="224"/>
      <c r="QFR41" s="225"/>
      <c r="QFS41" s="226"/>
      <c r="QFT41" s="227"/>
      <c r="QFU41" s="228"/>
      <c r="QFV41" s="228"/>
      <c r="QFW41" s="228"/>
      <c r="QFX41" s="228"/>
      <c r="QFY41" s="228"/>
      <c r="QFZ41" s="228"/>
      <c r="QGA41" s="226"/>
      <c r="QGB41" s="226"/>
      <c r="QGC41" s="224"/>
      <c r="QGD41" s="225"/>
      <c r="QGE41" s="226"/>
      <c r="QGF41" s="227"/>
      <c r="QGG41" s="228"/>
      <c r="QGH41" s="228"/>
      <c r="QGI41" s="228"/>
      <c r="QGJ41" s="228"/>
      <c r="QGK41" s="228"/>
      <c r="QGL41" s="228"/>
      <c r="QGM41" s="226"/>
      <c r="QGN41" s="226"/>
      <c r="QGO41" s="224"/>
      <c r="QGP41" s="225"/>
      <c r="QGQ41" s="226"/>
      <c r="QGR41" s="227"/>
      <c r="QGS41" s="228"/>
      <c r="QGT41" s="228"/>
      <c r="QGU41" s="228"/>
      <c r="QGV41" s="228"/>
      <c r="QGW41" s="228"/>
      <c r="QGX41" s="228"/>
      <c r="QGY41" s="226"/>
      <c r="QGZ41" s="226"/>
      <c r="QHA41" s="224"/>
      <c r="QHB41" s="225"/>
      <c r="QHC41" s="226"/>
      <c r="QHD41" s="227"/>
      <c r="QHE41" s="228"/>
      <c r="QHF41" s="228"/>
      <c r="QHG41" s="228"/>
      <c r="QHH41" s="228"/>
      <c r="QHI41" s="228"/>
      <c r="QHJ41" s="228"/>
      <c r="QHK41" s="226"/>
      <c r="QHL41" s="226"/>
      <c r="QHM41" s="224"/>
      <c r="QHN41" s="225"/>
      <c r="QHO41" s="226"/>
      <c r="QHP41" s="227"/>
      <c r="QHQ41" s="228"/>
      <c r="QHR41" s="228"/>
      <c r="QHS41" s="228"/>
      <c r="QHT41" s="228"/>
      <c r="QHU41" s="228"/>
      <c r="QHV41" s="228"/>
      <c r="QHW41" s="226"/>
      <c r="QHX41" s="226"/>
      <c r="QHY41" s="224"/>
      <c r="QHZ41" s="225"/>
      <c r="QIA41" s="226"/>
      <c r="QIB41" s="227"/>
      <c r="QIC41" s="228"/>
      <c r="QID41" s="228"/>
      <c r="QIE41" s="228"/>
      <c r="QIF41" s="228"/>
      <c r="QIG41" s="228"/>
      <c r="QIH41" s="228"/>
      <c r="QII41" s="226"/>
      <c r="QIJ41" s="226"/>
      <c r="QIK41" s="224"/>
      <c r="QIL41" s="225"/>
      <c r="QIM41" s="226"/>
      <c r="QIN41" s="227"/>
      <c r="QIO41" s="228"/>
      <c r="QIP41" s="228"/>
      <c r="QIQ41" s="228"/>
      <c r="QIR41" s="228"/>
      <c r="QIS41" s="228"/>
      <c r="QIT41" s="228"/>
      <c r="QIU41" s="226"/>
      <c r="QIV41" s="226"/>
      <c r="QIW41" s="224"/>
      <c r="QIX41" s="225"/>
      <c r="QIY41" s="226"/>
      <c r="QIZ41" s="227"/>
      <c r="QJA41" s="228"/>
      <c r="QJB41" s="228"/>
      <c r="QJC41" s="228"/>
      <c r="QJD41" s="228"/>
      <c r="QJE41" s="228"/>
      <c r="QJF41" s="228"/>
      <c r="QJG41" s="226"/>
      <c r="QJH41" s="226"/>
      <c r="QJI41" s="224"/>
      <c r="QJJ41" s="225"/>
      <c r="QJK41" s="226"/>
      <c r="QJL41" s="227"/>
      <c r="QJM41" s="228"/>
      <c r="QJN41" s="228"/>
      <c r="QJO41" s="228"/>
      <c r="QJP41" s="228"/>
      <c r="QJQ41" s="228"/>
      <c r="QJR41" s="228"/>
      <c r="QJS41" s="226"/>
      <c r="QJT41" s="226"/>
      <c r="QJU41" s="224"/>
      <c r="QJV41" s="225"/>
      <c r="QJW41" s="226"/>
      <c r="QJX41" s="227"/>
      <c r="QJY41" s="228"/>
      <c r="QJZ41" s="228"/>
      <c r="QKA41" s="228"/>
      <c r="QKB41" s="228"/>
      <c r="QKC41" s="228"/>
      <c r="QKD41" s="228"/>
      <c r="QKE41" s="226"/>
      <c r="QKF41" s="226"/>
      <c r="QKG41" s="224"/>
      <c r="QKH41" s="225"/>
      <c r="QKI41" s="226"/>
      <c r="QKJ41" s="227"/>
      <c r="QKK41" s="228"/>
      <c r="QKL41" s="228"/>
      <c r="QKM41" s="228"/>
      <c r="QKN41" s="228"/>
      <c r="QKO41" s="228"/>
      <c r="QKP41" s="228"/>
      <c r="QKQ41" s="226"/>
      <c r="QKR41" s="226"/>
      <c r="QKS41" s="224"/>
      <c r="QKT41" s="225"/>
      <c r="QKU41" s="226"/>
      <c r="QKV41" s="227"/>
      <c r="QKW41" s="228"/>
      <c r="QKX41" s="228"/>
      <c r="QKY41" s="228"/>
      <c r="QKZ41" s="228"/>
      <c r="QLA41" s="228"/>
      <c r="QLB41" s="228"/>
      <c r="QLC41" s="226"/>
      <c r="QLD41" s="226"/>
      <c r="QLE41" s="224"/>
      <c r="QLF41" s="225"/>
      <c r="QLG41" s="226"/>
      <c r="QLH41" s="227"/>
      <c r="QLI41" s="228"/>
      <c r="QLJ41" s="228"/>
      <c r="QLK41" s="228"/>
      <c r="QLL41" s="228"/>
      <c r="QLM41" s="228"/>
      <c r="QLN41" s="228"/>
      <c r="QLO41" s="226"/>
      <c r="QLP41" s="226"/>
      <c r="QLQ41" s="224"/>
      <c r="QLR41" s="225"/>
      <c r="QLS41" s="226"/>
      <c r="QLT41" s="227"/>
      <c r="QLU41" s="228"/>
      <c r="QLV41" s="228"/>
      <c r="QLW41" s="228"/>
      <c r="QLX41" s="228"/>
      <c r="QLY41" s="228"/>
      <c r="QLZ41" s="228"/>
      <c r="QMA41" s="226"/>
      <c r="QMB41" s="226"/>
      <c r="QMC41" s="224"/>
      <c r="QMD41" s="225"/>
      <c r="QME41" s="226"/>
      <c r="QMF41" s="227"/>
      <c r="QMG41" s="228"/>
      <c r="QMH41" s="228"/>
      <c r="QMI41" s="228"/>
      <c r="QMJ41" s="228"/>
      <c r="QMK41" s="228"/>
      <c r="QML41" s="228"/>
      <c r="QMM41" s="226"/>
      <c r="QMN41" s="226"/>
      <c r="QMO41" s="224"/>
      <c r="QMP41" s="225"/>
      <c r="QMQ41" s="226"/>
      <c r="QMR41" s="227"/>
      <c r="QMS41" s="228"/>
      <c r="QMT41" s="228"/>
      <c r="QMU41" s="228"/>
      <c r="QMV41" s="228"/>
      <c r="QMW41" s="228"/>
      <c r="QMX41" s="228"/>
      <c r="QMY41" s="226"/>
      <c r="QMZ41" s="226"/>
      <c r="QNA41" s="224"/>
      <c r="QNB41" s="225"/>
      <c r="QNC41" s="226"/>
      <c r="QND41" s="227"/>
      <c r="QNE41" s="228"/>
      <c r="QNF41" s="228"/>
      <c r="QNG41" s="228"/>
      <c r="QNH41" s="228"/>
      <c r="QNI41" s="228"/>
      <c r="QNJ41" s="228"/>
      <c r="QNK41" s="226"/>
      <c r="QNL41" s="226"/>
      <c r="QNM41" s="224"/>
      <c r="QNN41" s="225"/>
      <c r="QNO41" s="226"/>
      <c r="QNP41" s="227"/>
      <c r="QNQ41" s="228"/>
      <c r="QNR41" s="228"/>
      <c r="QNS41" s="228"/>
      <c r="QNT41" s="228"/>
      <c r="QNU41" s="228"/>
      <c r="QNV41" s="228"/>
      <c r="QNW41" s="226"/>
      <c r="QNX41" s="226"/>
      <c r="QNY41" s="224"/>
      <c r="QNZ41" s="225"/>
      <c r="QOA41" s="226"/>
      <c r="QOB41" s="227"/>
      <c r="QOC41" s="228"/>
      <c r="QOD41" s="228"/>
      <c r="QOE41" s="228"/>
      <c r="QOF41" s="228"/>
      <c r="QOG41" s="228"/>
      <c r="QOH41" s="228"/>
      <c r="QOI41" s="226"/>
      <c r="QOJ41" s="226"/>
      <c r="QOK41" s="224"/>
      <c r="QOL41" s="225"/>
      <c r="QOM41" s="226"/>
      <c r="QON41" s="227"/>
      <c r="QOO41" s="228"/>
      <c r="QOP41" s="228"/>
      <c r="QOQ41" s="228"/>
      <c r="QOR41" s="228"/>
      <c r="QOS41" s="228"/>
      <c r="QOT41" s="228"/>
      <c r="QOU41" s="226"/>
      <c r="QOV41" s="226"/>
      <c r="QOW41" s="224"/>
      <c r="QOX41" s="225"/>
      <c r="QOY41" s="226"/>
      <c r="QOZ41" s="227"/>
      <c r="QPA41" s="228"/>
      <c r="QPB41" s="228"/>
      <c r="QPC41" s="228"/>
      <c r="QPD41" s="228"/>
      <c r="QPE41" s="228"/>
      <c r="QPF41" s="228"/>
      <c r="QPG41" s="226"/>
      <c r="QPH41" s="226"/>
      <c r="QPI41" s="224"/>
      <c r="QPJ41" s="225"/>
      <c r="QPK41" s="226"/>
      <c r="QPL41" s="227"/>
      <c r="QPM41" s="228"/>
      <c r="QPN41" s="228"/>
      <c r="QPO41" s="228"/>
      <c r="QPP41" s="228"/>
      <c r="QPQ41" s="228"/>
      <c r="QPR41" s="228"/>
      <c r="QPS41" s="226"/>
      <c r="QPT41" s="226"/>
      <c r="QPU41" s="224"/>
      <c r="QPV41" s="225"/>
      <c r="QPW41" s="226"/>
      <c r="QPX41" s="227"/>
      <c r="QPY41" s="228"/>
      <c r="QPZ41" s="228"/>
      <c r="QQA41" s="228"/>
      <c r="QQB41" s="228"/>
      <c r="QQC41" s="228"/>
      <c r="QQD41" s="228"/>
      <c r="QQE41" s="226"/>
      <c r="QQF41" s="226"/>
      <c r="QQG41" s="224"/>
      <c r="QQH41" s="225"/>
      <c r="QQI41" s="226"/>
      <c r="QQJ41" s="227"/>
      <c r="QQK41" s="228"/>
      <c r="QQL41" s="228"/>
      <c r="QQM41" s="228"/>
      <c r="QQN41" s="228"/>
      <c r="QQO41" s="228"/>
      <c r="QQP41" s="228"/>
      <c r="QQQ41" s="226"/>
      <c r="QQR41" s="226"/>
      <c r="QQS41" s="224"/>
      <c r="QQT41" s="225"/>
      <c r="QQU41" s="226"/>
      <c r="QQV41" s="227"/>
      <c r="QQW41" s="228"/>
      <c r="QQX41" s="228"/>
      <c r="QQY41" s="228"/>
      <c r="QQZ41" s="228"/>
      <c r="QRA41" s="228"/>
      <c r="QRB41" s="228"/>
      <c r="QRC41" s="226"/>
      <c r="QRD41" s="226"/>
      <c r="QRE41" s="224"/>
      <c r="QRF41" s="225"/>
      <c r="QRG41" s="226"/>
      <c r="QRH41" s="227"/>
      <c r="QRI41" s="228"/>
      <c r="QRJ41" s="228"/>
      <c r="QRK41" s="228"/>
      <c r="QRL41" s="228"/>
      <c r="QRM41" s="228"/>
      <c r="QRN41" s="228"/>
      <c r="QRO41" s="226"/>
      <c r="QRP41" s="226"/>
      <c r="QRQ41" s="224"/>
      <c r="QRR41" s="225"/>
      <c r="QRS41" s="226"/>
      <c r="QRT41" s="227"/>
      <c r="QRU41" s="228"/>
      <c r="QRV41" s="228"/>
      <c r="QRW41" s="228"/>
      <c r="QRX41" s="228"/>
      <c r="QRY41" s="228"/>
      <c r="QRZ41" s="228"/>
      <c r="QSA41" s="226"/>
      <c r="QSB41" s="226"/>
      <c r="QSC41" s="224"/>
      <c r="QSD41" s="225"/>
      <c r="QSE41" s="226"/>
      <c r="QSF41" s="227"/>
      <c r="QSG41" s="228"/>
      <c r="QSH41" s="228"/>
      <c r="QSI41" s="228"/>
      <c r="QSJ41" s="228"/>
      <c r="QSK41" s="228"/>
      <c r="QSL41" s="228"/>
      <c r="QSM41" s="226"/>
      <c r="QSN41" s="226"/>
      <c r="QSO41" s="224"/>
      <c r="QSP41" s="225"/>
      <c r="QSQ41" s="226"/>
      <c r="QSR41" s="227"/>
      <c r="QSS41" s="228"/>
      <c r="QST41" s="228"/>
      <c r="QSU41" s="228"/>
      <c r="QSV41" s="228"/>
      <c r="QSW41" s="228"/>
      <c r="QSX41" s="228"/>
      <c r="QSY41" s="226"/>
      <c r="QSZ41" s="226"/>
      <c r="QTA41" s="224"/>
      <c r="QTB41" s="225"/>
      <c r="QTC41" s="226"/>
      <c r="QTD41" s="227"/>
      <c r="QTE41" s="228"/>
      <c r="QTF41" s="228"/>
      <c r="QTG41" s="228"/>
      <c r="QTH41" s="228"/>
      <c r="QTI41" s="228"/>
      <c r="QTJ41" s="228"/>
      <c r="QTK41" s="226"/>
      <c r="QTL41" s="226"/>
      <c r="QTM41" s="224"/>
      <c r="QTN41" s="225"/>
      <c r="QTO41" s="226"/>
      <c r="QTP41" s="227"/>
      <c r="QTQ41" s="228"/>
      <c r="QTR41" s="228"/>
      <c r="QTS41" s="228"/>
      <c r="QTT41" s="228"/>
      <c r="QTU41" s="228"/>
      <c r="QTV41" s="228"/>
      <c r="QTW41" s="226"/>
      <c r="QTX41" s="226"/>
      <c r="QTY41" s="224"/>
      <c r="QTZ41" s="225"/>
      <c r="QUA41" s="226"/>
      <c r="QUB41" s="227"/>
      <c r="QUC41" s="228"/>
      <c r="QUD41" s="228"/>
      <c r="QUE41" s="228"/>
      <c r="QUF41" s="228"/>
      <c r="QUG41" s="228"/>
      <c r="QUH41" s="228"/>
      <c r="QUI41" s="226"/>
      <c r="QUJ41" s="226"/>
      <c r="QUK41" s="224"/>
      <c r="QUL41" s="225"/>
      <c r="QUM41" s="226"/>
      <c r="QUN41" s="227"/>
      <c r="QUO41" s="228"/>
      <c r="QUP41" s="228"/>
      <c r="QUQ41" s="228"/>
      <c r="QUR41" s="228"/>
      <c r="QUS41" s="228"/>
      <c r="QUT41" s="228"/>
      <c r="QUU41" s="226"/>
      <c r="QUV41" s="226"/>
      <c r="QUW41" s="224"/>
      <c r="QUX41" s="225"/>
      <c r="QUY41" s="226"/>
      <c r="QUZ41" s="227"/>
      <c r="QVA41" s="228"/>
      <c r="QVB41" s="228"/>
      <c r="QVC41" s="228"/>
      <c r="QVD41" s="228"/>
      <c r="QVE41" s="228"/>
      <c r="QVF41" s="228"/>
      <c r="QVG41" s="226"/>
      <c r="QVH41" s="226"/>
      <c r="QVI41" s="224"/>
      <c r="QVJ41" s="225"/>
      <c r="QVK41" s="226"/>
      <c r="QVL41" s="227"/>
      <c r="QVM41" s="228"/>
      <c r="QVN41" s="228"/>
      <c r="QVO41" s="228"/>
      <c r="QVP41" s="228"/>
      <c r="QVQ41" s="228"/>
      <c r="QVR41" s="228"/>
      <c r="QVS41" s="226"/>
      <c r="QVT41" s="226"/>
      <c r="QVU41" s="224"/>
      <c r="QVV41" s="225"/>
      <c r="QVW41" s="226"/>
      <c r="QVX41" s="227"/>
      <c r="QVY41" s="228"/>
      <c r="QVZ41" s="228"/>
      <c r="QWA41" s="228"/>
      <c r="QWB41" s="228"/>
      <c r="QWC41" s="228"/>
      <c r="QWD41" s="228"/>
      <c r="QWE41" s="226"/>
      <c r="QWF41" s="226"/>
      <c r="QWG41" s="224"/>
      <c r="QWH41" s="225"/>
      <c r="QWI41" s="226"/>
      <c r="QWJ41" s="227"/>
      <c r="QWK41" s="228"/>
      <c r="QWL41" s="228"/>
      <c r="QWM41" s="228"/>
      <c r="QWN41" s="228"/>
      <c r="QWO41" s="228"/>
      <c r="QWP41" s="228"/>
      <c r="QWQ41" s="226"/>
      <c r="QWR41" s="226"/>
      <c r="QWS41" s="224"/>
      <c r="QWT41" s="225"/>
      <c r="QWU41" s="226"/>
      <c r="QWV41" s="227"/>
      <c r="QWW41" s="228"/>
      <c r="QWX41" s="228"/>
      <c r="QWY41" s="228"/>
      <c r="QWZ41" s="228"/>
      <c r="QXA41" s="228"/>
      <c r="QXB41" s="228"/>
      <c r="QXC41" s="226"/>
      <c r="QXD41" s="226"/>
      <c r="QXE41" s="224"/>
      <c r="QXF41" s="225"/>
      <c r="QXG41" s="226"/>
      <c r="QXH41" s="227"/>
      <c r="QXI41" s="228"/>
      <c r="QXJ41" s="228"/>
      <c r="QXK41" s="228"/>
      <c r="QXL41" s="228"/>
      <c r="QXM41" s="228"/>
      <c r="QXN41" s="228"/>
      <c r="QXO41" s="226"/>
      <c r="QXP41" s="226"/>
      <c r="QXQ41" s="224"/>
      <c r="QXR41" s="225"/>
      <c r="QXS41" s="226"/>
      <c r="QXT41" s="227"/>
      <c r="QXU41" s="228"/>
      <c r="QXV41" s="228"/>
      <c r="QXW41" s="228"/>
      <c r="QXX41" s="228"/>
      <c r="QXY41" s="228"/>
      <c r="QXZ41" s="228"/>
      <c r="QYA41" s="226"/>
      <c r="QYB41" s="226"/>
      <c r="QYC41" s="224"/>
      <c r="QYD41" s="225"/>
      <c r="QYE41" s="226"/>
      <c r="QYF41" s="227"/>
      <c r="QYG41" s="228"/>
      <c r="QYH41" s="228"/>
      <c r="QYI41" s="228"/>
      <c r="QYJ41" s="228"/>
      <c r="QYK41" s="228"/>
      <c r="QYL41" s="228"/>
      <c r="QYM41" s="226"/>
      <c r="QYN41" s="226"/>
      <c r="QYO41" s="224"/>
      <c r="QYP41" s="225"/>
      <c r="QYQ41" s="226"/>
      <c r="QYR41" s="227"/>
      <c r="QYS41" s="228"/>
      <c r="QYT41" s="228"/>
      <c r="QYU41" s="228"/>
      <c r="QYV41" s="228"/>
      <c r="QYW41" s="228"/>
      <c r="QYX41" s="228"/>
      <c r="QYY41" s="226"/>
      <c r="QYZ41" s="226"/>
      <c r="QZA41" s="224"/>
      <c r="QZB41" s="225"/>
      <c r="QZC41" s="226"/>
      <c r="QZD41" s="227"/>
      <c r="QZE41" s="228"/>
      <c r="QZF41" s="228"/>
      <c r="QZG41" s="228"/>
      <c r="QZH41" s="228"/>
      <c r="QZI41" s="228"/>
      <c r="QZJ41" s="228"/>
      <c r="QZK41" s="226"/>
      <c r="QZL41" s="226"/>
      <c r="QZM41" s="224"/>
      <c r="QZN41" s="225"/>
      <c r="QZO41" s="226"/>
      <c r="QZP41" s="227"/>
      <c r="QZQ41" s="228"/>
      <c r="QZR41" s="228"/>
      <c r="QZS41" s="228"/>
      <c r="QZT41" s="228"/>
      <c r="QZU41" s="228"/>
      <c r="QZV41" s="228"/>
      <c r="QZW41" s="226"/>
      <c r="QZX41" s="226"/>
      <c r="QZY41" s="224"/>
      <c r="QZZ41" s="225"/>
      <c r="RAA41" s="226"/>
      <c r="RAB41" s="227"/>
      <c r="RAC41" s="228"/>
      <c r="RAD41" s="228"/>
      <c r="RAE41" s="228"/>
      <c r="RAF41" s="228"/>
      <c r="RAG41" s="228"/>
      <c r="RAH41" s="228"/>
      <c r="RAI41" s="226"/>
      <c r="RAJ41" s="226"/>
      <c r="RAK41" s="224"/>
      <c r="RAL41" s="225"/>
      <c r="RAM41" s="226"/>
      <c r="RAN41" s="227"/>
      <c r="RAO41" s="228"/>
      <c r="RAP41" s="228"/>
      <c r="RAQ41" s="228"/>
      <c r="RAR41" s="228"/>
      <c r="RAS41" s="228"/>
      <c r="RAT41" s="228"/>
      <c r="RAU41" s="226"/>
      <c r="RAV41" s="226"/>
      <c r="RAW41" s="224"/>
      <c r="RAX41" s="225"/>
      <c r="RAY41" s="226"/>
      <c r="RAZ41" s="227"/>
      <c r="RBA41" s="228"/>
      <c r="RBB41" s="228"/>
      <c r="RBC41" s="228"/>
      <c r="RBD41" s="228"/>
      <c r="RBE41" s="228"/>
      <c r="RBF41" s="228"/>
      <c r="RBG41" s="226"/>
      <c r="RBH41" s="226"/>
      <c r="RBI41" s="224"/>
      <c r="RBJ41" s="225"/>
      <c r="RBK41" s="226"/>
      <c r="RBL41" s="227"/>
      <c r="RBM41" s="228"/>
      <c r="RBN41" s="228"/>
      <c r="RBO41" s="228"/>
      <c r="RBP41" s="228"/>
      <c r="RBQ41" s="228"/>
      <c r="RBR41" s="228"/>
      <c r="RBS41" s="226"/>
      <c r="RBT41" s="226"/>
      <c r="RBU41" s="224"/>
      <c r="RBV41" s="225"/>
      <c r="RBW41" s="226"/>
      <c r="RBX41" s="227"/>
      <c r="RBY41" s="228"/>
      <c r="RBZ41" s="228"/>
      <c r="RCA41" s="228"/>
      <c r="RCB41" s="228"/>
      <c r="RCC41" s="228"/>
      <c r="RCD41" s="228"/>
      <c r="RCE41" s="226"/>
      <c r="RCF41" s="226"/>
      <c r="RCG41" s="224"/>
      <c r="RCH41" s="225"/>
      <c r="RCI41" s="226"/>
      <c r="RCJ41" s="227"/>
      <c r="RCK41" s="228"/>
      <c r="RCL41" s="228"/>
      <c r="RCM41" s="228"/>
      <c r="RCN41" s="228"/>
      <c r="RCO41" s="228"/>
      <c r="RCP41" s="228"/>
      <c r="RCQ41" s="226"/>
      <c r="RCR41" s="226"/>
      <c r="RCS41" s="224"/>
      <c r="RCT41" s="225"/>
      <c r="RCU41" s="226"/>
      <c r="RCV41" s="227"/>
      <c r="RCW41" s="228"/>
      <c r="RCX41" s="228"/>
      <c r="RCY41" s="228"/>
      <c r="RCZ41" s="228"/>
      <c r="RDA41" s="228"/>
      <c r="RDB41" s="228"/>
      <c r="RDC41" s="226"/>
      <c r="RDD41" s="226"/>
      <c r="RDE41" s="224"/>
      <c r="RDF41" s="225"/>
      <c r="RDG41" s="226"/>
      <c r="RDH41" s="227"/>
      <c r="RDI41" s="228"/>
      <c r="RDJ41" s="228"/>
      <c r="RDK41" s="228"/>
      <c r="RDL41" s="228"/>
      <c r="RDM41" s="228"/>
      <c r="RDN41" s="228"/>
      <c r="RDO41" s="226"/>
      <c r="RDP41" s="226"/>
      <c r="RDQ41" s="224"/>
      <c r="RDR41" s="225"/>
      <c r="RDS41" s="226"/>
      <c r="RDT41" s="227"/>
      <c r="RDU41" s="228"/>
      <c r="RDV41" s="228"/>
      <c r="RDW41" s="228"/>
      <c r="RDX41" s="228"/>
      <c r="RDY41" s="228"/>
      <c r="RDZ41" s="228"/>
      <c r="REA41" s="226"/>
      <c r="REB41" s="226"/>
      <c r="REC41" s="224"/>
      <c r="RED41" s="225"/>
      <c r="REE41" s="226"/>
      <c r="REF41" s="227"/>
      <c r="REG41" s="228"/>
      <c r="REH41" s="228"/>
      <c r="REI41" s="228"/>
      <c r="REJ41" s="228"/>
      <c r="REK41" s="228"/>
      <c r="REL41" s="228"/>
      <c r="REM41" s="226"/>
      <c r="REN41" s="226"/>
      <c r="REO41" s="224"/>
      <c r="REP41" s="225"/>
      <c r="REQ41" s="226"/>
      <c r="RER41" s="227"/>
      <c r="RES41" s="228"/>
      <c r="RET41" s="228"/>
      <c r="REU41" s="228"/>
      <c r="REV41" s="228"/>
      <c r="REW41" s="228"/>
      <c r="REX41" s="228"/>
      <c r="REY41" s="226"/>
      <c r="REZ41" s="226"/>
      <c r="RFA41" s="224"/>
      <c r="RFB41" s="225"/>
      <c r="RFC41" s="226"/>
      <c r="RFD41" s="227"/>
      <c r="RFE41" s="228"/>
      <c r="RFF41" s="228"/>
      <c r="RFG41" s="228"/>
      <c r="RFH41" s="228"/>
      <c r="RFI41" s="228"/>
      <c r="RFJ41" s="228"/>
      <c r="RFK41" s="226"/>
      <c r="RFL41" s="226"/>
      <c r="RFM41" s="224"/>
      <c r="RFN41" s="225"/>
      <c r="RFO41" s="226"/>
      <c r="RFP41" s="227"/>
      <c r="RFQ41" s="228"/>
      <c r="RFR41" s="228"/>
      <c r="RFS41" s="228"/>
      <c r="RFT41" s="228"/>
      <c r="RFU41" s="228"/>
      <c r="RFV41" s="228"/>
      <c r="RFW41" s="226"/>
      <c r="RFX41" s="226"/>
      <c r="RFY41" s="224"/>
      <c r="RFZ41" s="225"/>
      <c r="RGA41" s="226"/>
      <c r="RGB41" s="227"/>
      <c r="RGC41" s="228"/>
      <c r="RGD41" s="228"/>
      <c r="RGE41" s="228"/>
      <c r="RGF41" s="228"/>
      <c r="RGG41" s="228"/>
      <c r="RGH41" s="228"/>
      <c r="RGI41" s="226"/>
      <c r="RGJ41" s="226"/>
      <c r="RGK41" s="224"/>
      <c r="RGL41" s="225"/>
      <c r="RGM41" s="226"/>
      <c r="RGN41" s="227"/>
      <c r="RGO41" s="228"/>
      <c r="RGP41" s="228"/>
      <c r="RGQ41" s="228"/>
      <c r="RGR41" s="228"/>
      <c r="RGS41" s="228"/>
      <c r="RGT41" s="228"/>
      <c r="RGU41" s="226"/>
      <c r="RGV41" s="226"/>
      <c r="RGW41" s="224"/>
      <c r="RGX41" s="225"/>
      <c r="RGY41" s="226"/>
      <c r="RGZ41" s="227"/>
      <c r="RHA41" s="228"/>
      <c r="RHB41" s="228"/>
      <c r="RHC41" s="228"/>
      <c r="RHD41" s="228"/>
      <c r="RHE41" s="228"/>
      <c r="RHF41" s="228"/>
      <c r="RHG41" s="226"/>
      <c r="RHH41" s="226"/>
      <c r="RHI41" s="224"/>
      <c r="RHJ41" s="225"/>
      <c r="RHK41" s="226"/>
      <c r="RHL41" s="227"/>
      <c r="RHM41" s="228"/>
      <c r="RHN41" s="228"/>
      <c r="RHO41" s="228"/>
      <c r="RHP41" s="228"/>
      <c r="RHQ41" s="228"/>
      <c r="RHR41" s="228"/>
      <c r="RHS41" s="226"/>
      <c r="RHT41" s="226"/>
      <c r="RHU41" s="224"/>
      <c r="RHV41" s="225"/>
      <c r="RHW41" s="226"/>
      <c r="RHX41" s="227"/>
      <c r="RHY41" s="228"/>
      <c r="RHZ41" s="228"/>
      <c r="RIA41" s="228"/>
      <c r="RIB41" s="228"/>
      <c r="RIC41" s="228"/>
      <c r="RID41" s="228"/>
      <c r="RIE41" s="226"/>
      <c r="RIF41" s="226"/>
      <c r="RIG41" s="224"/>
      <c r="RIH41" s="225"/>
      <c r="RII41" s="226"/>
      <c r="RIJ41" s="227"/>
      <c r="RIK41" s="228"/>
      <c r="RIL41" s="228"/>
      <c r="RIM41" s="228"/>
      <c r="RIN41" s="228"/>
      <c r="RIO41" s="228"/>
      <c r="RIP41" s="228"/>
      <c r="RIQ41" s="226"/>
      <c r="RIR41" s="226"/>
      <c r="RIS41" s="224"/>
      <c r="RIT41" s="225"/>
      <c r="RIU41" s="226"/>
      <c r="RIV41" s="227"/>
      <c r="RIW41" s="228"/>
      <c r="RIX41" s="228"/>
      <c r="RIY41" s="228"/>
      <c r="RIZ41" s="228"/>
      <c r="RJA41" s="228"/>
      <c r="RJB41" s="228"/>
      <c r="RJC41" s="226"/>
      <c r="RJD41" s="226"/>
      <c r="RJE41" s="224"/>
      <c r="RJF41" s="225"/>
      <c r="RJG41" s="226"/>
      <c r="RJH41" s="227"/>
      <c r="RJI41" s="228"/>
      <c r="RJJ41" s="228"/>
      <c r="RJK41" s="228"/>
      <c r="RJL41" s="228"/>
      <c r="RJM41" s="228"/>
      <c r="RJN41" s="228"/>
      <c r="RJO41" s="226"/>
      <c r="RJP41" s="226"/>
      <c r="RJQ41" s="224"/>
      <c r="RJR41" s="225"/>
      <c r="RJS41" s="226"/>
      <c r="RJT41" s="227"/>
      <c r="RJU41" s="228"/>
      <c r="RJV41" s="228"/>
      <c r="RJW41" s="228"/>
      <c r="RJX41" s="228"/>
      <c r="RJY41" s="228"/>
      <c r="RJZ41" s="228"/>
      <c r="RKA41" s="226"/>
      <c r="RKB41" s="226"/>
      <c r="RKC41" s="224"/>
      <c r="RKD41" s="225"/>
      <c r="RKE41" s="226"/>
      <c r="RKF41" s="227"/>
      <c r="RKG41" s="228"/>
      <c r="RKH41" s="228"/>
      <c r="RKI41" s="228"/>
      <c r="RKJ41" s="228"/>
      <c r="RKK41" s="228"/>
      <c r="RKL41" s="228"/>
      <c r="RKM41" s="226"/>
      <c r="RKN41" s="226"/>
      <c r="RKO41" s="224"/>
      <c r="RKP41" s="225"/>
      <c r="RKQ41" s="226"/>
      <c r="RKR41" s="227"/>
      <c r="RKS41" s="228"/>
      <c r="RKT41" s="228"/>
      <c r="RKU41" s="228"/>
      <c r="RKV41" s="228"/>
      <c r="RKW41" s="228"/>
      <c r="RKX41" s="228"/>
      <c r="RKY41" s="226"/>
      <c r="RKZ41" s="226"/>
      <c r="RLA41" s="224"/>
      <c r="RLB41" s="225"/>
      <c r="RLC41" s="226"/>
      <c r="RLD41" s="227"/>
      <c r="RLE41" s="228"/>
      <c r="RLF41" s="228"/>
      <c r="RLG41" s="228"/>
      <c r="RLH41" s="228"/>
      <c r="RLI41" s="228"/>
      <c r="RLJ41" s="228"/>
      <c r="RLK41" s="226"/>
      <c r="RLL41" s="226"/>
      <c r="RLM41" s="224"/>
      <c r="RLN41" s="225"/>
      <c r="RLO41" s="226"/>
      <c r="RLP41" s="227"/>
      <c r="RLQ41" s="228"/>
      <c r="RLR41" s="228"/>
      <c r="RLS41" s="228"/>
      <c r="RLT41" s="228"/>
      <c r="RLU41" s="228"/>
      <c r="RLV41" s="228"/>
      <c r="RLW41" s="226"/>
      <c r="RLX41" s="226"/>
      <c r="RLY41" s="224"/>
      <c r="RLZ41" s="225"/>
      <c r="RMA41" s="226"/>
      <c r="RMB41" s="227"/>
      <c r="RMC41" s="228"/>
      <c r="RMD41" s="228"/>
      <c r="RME41" s="228"/>
      <c r="RMF41" s="228"/>
      <c r="RMG41" s="228"/>
      <c r="RMH41" s="228"/>
      <c r="RMI41" s="226"/>
      <c r="RMJ41" s="226"/>
      <c r="RMK41" s="224"/>
      <c r="RML41" s="225"/>
      <c r="RMM41" s="226"/>
      <c r="RMN41" s="227"/>
      <c r="RMO41" s="228"/>
      <c r="RMP41" s="228"/>
      <c r="RMQ41" s="228"/>
      <c r="RMR41" s="228"/>
      <c r="RMS41" s="228"/>
      <c r="RMT41" s="228"/>
      <c r="RMU41" s="226"/>
      <c r="RMV41" s="226"/>
      <c r="RMW41" s="224"/>
      <c r="RMX41" s="225"/>
      <c r="RMY41" s="226"/>
      <c r="RMZ41" s="227"/>
      <c r="RNA41" s="228"/>
      <c r="RNB41" s="228"/>
      <c r="RNC41" s="228"/>
      <c r="RND41" s="228"/>
      <c r="RNE41" s="228"/>
      <c r="RNF41" s="228"/>
      <c r="RNG41" s="226"/>
      <c r="RNH41" s="226"/>
      <c r="RNI41" s="224"/>
      <c r="RNJ41" s="225"/>
      <c r="RNK41" s="226"/>
      <c r="RNL41" s="227"/>
      <c r="RNM41" s="228"/>
      <c r="RNN41" s="228"/>
      <c r="RNO41" s="228"/>
      <c r="RNP41" s="228"/>
      <c r="RNQ41" s="228"/>
      <c r="RNR41" s="228"/>
      <c r="RNS41" s="226"/>
      <c r="RNT41" s="226"/>
      <c r="RNU41" s="224"/>
      <c r="RNV41" s="225"/>
      <c r="RNW41" s="226"/>
      <c r="RNX41" s="227"/>
      <c r="RNY41" s="228"/>
      <c r="RNZ41" s="228"/>
      <c r="ROA41" s="228"/>
      <c r="ROB41" s="228"/>
      <c r="ROC41" s="228"/>
      <c r="ROD41" s="228"/>
      <c r="ROE41" s="226"/>
      <c r="ROF41" s="226"/>
      <c r="ROG41" s="224"/>
      <c r="ROH41" s="225"/>
      <c r="ROI41" s="226"/>
      <c r="ROJ41" s="227"/>
      <c r="ROK41" s="228"/>
      <c r="ROL41" s="228"/>
      <c r="ROM41" s="228"/>
      <c r="RON41" s="228"/>
      <c r="ROO41" s="228"/>
      <c r="ROP41" s="228"/>
      <c r="ROQ41" s="226"/>
      <c r="ROR41" s="226"/>
      <c r="ROS41" s="224"/>
      <c r="ROT41" s="225"/>
      <c r="ROU41" s="226"/>
      <c r="ROV41" s="227"/>
      <c r="ROW41" s="228"/>
      <c r="ROX41" s="228"/>
      <c r="ROY41" s="228"/>
      <c r="ROZ41" s="228"/>
      <c r="RPA41" s="228"/>
      <c r="RPB41" s="228"/>
      <c r="RPC41" s="226"/>
      <c r="RPD41" s="226"/>
      <c r="RPE41" s="224"/>
      <c r="RPF41" s="225"/>
      <c r="RPG41" s="226"/>
      <c r="RPH41" s="227"/>
      <c r="RPI41" s="228"/>
      <c r="RPJ41" s="228"/>
      <c r="RPK41" s="228"/>
      <c r="RPL41" s="228"/>
      <c r="RPM41" s="228"/>
      <c r="RPN41" s="228"/>
      <c r="RPO41" s="226"/>
      <c r="RPP41" s="226"/>
      <c r="RPQ41" s="224"/>
      <c r="RPR41" s="225"/>
      <c r="RPS41" s="226"/>
      <c r="RPT41" s="227"/>
      <c r="RPU41" s="228"/>
      <c r="RPV41" s="228"/>
      <c r="RPW41" s="228"/>
      <c r="RPX41" s="228"/>
      <c r="RPY41" s="228"/>
      <c r="RPZ41" s="228"/>
      <c r="RQA41" s="226"/>
      <c r="RQB41" s="226"/>
      <c r="RQC41" s="224"/>
      <c r="RQD41" s="225"/>
      <c r="RQE41" s="226"/>
      <c r="RQF41" s="227"/>
      <c r="RQG41" s="228"/>
      <c r="RQH41" s="228"/>
      <c r="RQI41" s="228"/>
      <c r="RQJ41" s="228"/>
      <c r="RQK41" s="228"/>
      <c r="RQL41" s="228"/>
      <c r="RQM41" s="226"/>
      <c r="RQN41" s="226"/>
      <c r="RQO41" s="224"/>
      <c r="RQP41" s="225"/>
      <c r="RQQ41" s="226"/>
      <c r="RQR41" s="227"/>
      <c r="RQS41" s="228"/>
      <c r="RQT41" s="228"/>
      <c r="RQU41" s="228"/>
      <c r="RQV41" s="228"/>
      <c r="RQW41" s="228"/>
      <c r="RQX41" s="228"/>
      <c r="RQY41" s="226"/>
      <c r="RQZ41" s="226"/>
      <c r="RRA41" s="224"/>
      <c r="RRB41" s="225"/>
      <c r="RRC41" s="226"/>
      <c r="RRD41" s="227"/>
      <c r="RRE41" s="228"/>
      <c r="RRF41" s="228"/>
      <c r="RRG41" s="228"/>
      <c r="RRH41" s="228"/>
      <c r="RRI41" s="228"/>
      <c r="RRJ41" s="228"/>
      <c r="RRK41" s="226"/>
      <c r="RRL41" s="226"/>
      <c r="RRM41" s="224"/>
      <c r="RRN41" s="225"/>
      <c r="RRO41" s="226"/>
      <c r="RRP41" s="227"/>
      <c r="RRQ41" s="228"/>
      <c r="RRR41" s="228"/>
      <c r="RRS41" s="228"/>
      <c r="RRT41" s="228"/>
      <c r="RRU41" s="228"/>
      <c r="RRV41" s="228"/>
      <c r="RRW41" s="226"/>
      <c r="RRX41" s="226"/>
      <c r="RRY41" s="224"/>
      <c r="RRZ41" s="225"/>
      <c r="RSA41" s="226"/>
      <c r="RSB41" s="227"/>
      <c r="RSC41" s="228"/>
      <c r="RSD41" s="228"/>
      <c r="RSE41" s="228"/>
      <c r="RSF41" s="228"/>
      <c r="RSG41" s="228"/>
      <c r="RSH41" s="228"/>
      <c r="RSI41" s="226"/>
      <c r="RSJ41" s="226"/>
      <c r="RSK41" s="224"/>
      <c r="RSL41" s="225"/>
      <c r="RSM41" s="226"/>
      <c r="RSN41" s="227"/>
      <c r="RSO41" s="228"/>
      <c r="RSP41" s="228"/>
      <c r="RSQ41" s="228"/>
      <c r="RSR41" s="228"/>
      <c r="RSS41" s="228"/>
      <c r="RST41" s="228"/>
      <c r="RSU41" s="226"/>
      <c r="RSV41" s="226"/>
      <c r="RSW41" s="224"/>
      <c r="RSX41" s="225"/>
      <c r="RSY41" s="226"/>
      <c r="RSZ41" s="227"/>
      <c r="RTA41" s="228"/>
      <c r="RTB41" s="228"/>
      <c r="RTC41" s="228"/>
      <c r="RTD41" s="228"/>
      <c r="RTE41" s="228"/>
      <c r="RTF41" s="228"/>
      <c r="RTG41" s="226"/>
      <c r="RTH41" s="226"/>
      <c r="RTI41" s="224"/>
      <c r="RTJ41" s="225"/>
      <c r="RTK41" s="226"/>
      <c r="RTL41" s="227"/>
      <c r="RTM41" s="228"/>
      <c r="RTN41" s="228"/>
      <c r="RTO41" s="228"/>
      <c r="RTP41" s="228"/>
      <c r="RTQ41" s="228"/>
      <c r="RTR41" s="228"/>
      <c r="RTS41" s="226"/>
      <c r="RTT41" s="226"/>
      <c r="RTU41" s="224"/>
      <c r="RTV41" s="225"/>
      <c r="RTW41" s="226"/>
      <c r="RTX41" s="227"/>
      <c r="RTY41" s="228"/>
      <c r="RTZ41" s="228"/>
      <c r="RUA41" s="228"/>
      <c r="RUB41" s="228"/>
      <c r="RUC41" s="228"/>
      <c r="RUD41" s="228"/>
      <c r="RUE41" s="226"/>
      <c r="RUF41" s="226"/>
      <c r="RUG41" s="224"/>
      <c r="RUH41" s="225"/>
      <c r="RUI41" s="226"/>
      <c r="RUJ41" s="227"/>
      <c r="RUK41" s="228"/>
      <c r="RUL41" s="228"/>
      <c r="RUM41" s="228"/>
      <c r="RUN41" s="228"/>
      <c r="RUO41" s="228"/>
      <c r="RUP41" s="228"/>
      <c r="RUQ41" s="226"/>
      <c r="RUR41" s="226"/>
      <c r="RUS41" s="224"/>
      <c r="RUT41" s="225"/>
      <c r="RUU41" s="226"/>
      <c r="RUV41" s="227"/>
      <c r="RUW41" s="228"/>
      <c r="RUX41" s="228"/>
      <c r="RUY41" s="228"/>
      <c r="RUZ41" s="228"/>
      <c r="RVA41" s="228"/>
      <c r="RVB41" s="228"/>
      <c r="RVC41" s="226"/>
      <c r="RVD41" s="226"/>
      <c r="RVE41" s="224"/>
      <c r="RVF41" s="225"/>
      <c r="RVG41" s="226"/>
      <c r="RVH41" s="227"/>
      <c r="RVI41" s="228"/>
      <c r="RVJ41" s="228"/>
      <c r="RVK41" s="228"/>
      <c r="RVL41" s="228"/>
      <c r="RVM41" s="228"/>
      <c r="RVN41" s="228"/>
      <c r="RVO41" s="226"/>
      <c r="RVP41" s="226"/>
      <c r="RVQ41" s="224"/>
      <c r="RVR41" s="225"/>
      <c r="RVS41" s="226"/>
      <c r="RVT41" s="227"/>
      <c r="RVU41" s="228"/>
      <c r="RVV41" s="228"/>
      <c r="RVW41" s="228"/>
      <c r="RVX41" s="228"/>
      <c r="RVY41" s="228"/>
      <c r="RVZ41" s="228"/>
      <c r="RWA41" s="226"/>
      <c r="RWB41" s="226"/>
      <c r="RWC41" s="224"/>
      <c r="RWD41" s="225"/>
      <c r="RWE41" s="226"/>
      <c r="RWF41" s="227"/>
      <c r="RWG41" s="228"/>
      <c r="RWH41" s="228"/>
      <c r="RWI41" s="228"/>
      <c r="RWJ41" s="228"/>
      <c r="RWK41" s="228"/>
      <c r="RWL41" s="228"/>
      <c r="RWM41" s="226"/>
      <c r="RWN41" s="226"/>
      <c r="RWO41" s="224"/>
      <c r="RWP41" s="225"/>
      <c r="RWQ41" s="226"/>
      <c r="RWR41" s="227"/>
      <c r="RWS41" s="228"/>
      <c r="RWT41" s="228"/>
      <c r="RWU41" s="228"/>
      <c r="RWV41" s="228"/>
      <c r="RWW41" s="228"/>
      <c r="RWX41" s="228"/>
      <c r="RWY41" s="226"/>
      <c r="RWZ41" s="226"/>
      <c r="RXA41" s="224"/>
      <c r="RXB41" s="225"/>
      <c r="RXC41" s="226"/>
      <c r="RXD41" s="227"/>
      <c r="RXE41" s="228"/>
      <c r="RXF41" s="228"/>
      <c r="RXG41" s="228"/>
      <c r="RXH41" s="228"/>
      <c r="RXI41" s="228"/>
      <c r="RXJ41" s="228"/>
      <c r="RXK41" s="226"/>
      <c r="RXL41" s="226"/>
      <c r="RXM41" s="224"/>
      <c r="RXN41" s="225"/>
      <c r="RXO41" s="226"/>
      <c r="RXP41" s="227"/>
      <c r="RXQ41" s="228"/>
      <c r="RXR41" s="228"/>
      <c r="RXS41" s="228"/>
      <c r="RXT41" s="228"/>
      <c r="RXU41" s="228"/>
      <c r="RXV41" s="228"/>
      <c r="RXW41" s="226"/>
      <c r="RXX41" s="226"/>
      <c r="RXY41" s="224"/>
      <c r="RXZ41" s="225"/>
      <c r="RYA41" s="226"/>
      <c r="RYB41" s="227"/>
      <c r="RYC41" s="228"/>
      <c r="RYD41" s="228"/>
      <c r="RYE41" s="228"/>
      <c r="RYF41" s="228"/>
      <c r="RYG41" s="228"/>
      <c r="RYH41" s="228"/>
      <c r="RYI41" s="226"/>
      <c r="RYJ41" s="226"/>
      <c r="RYK41" s="224"/>
      <c r="RYL41" s="225"/>
      <c r="RYM41" s="226"/>
      <c r="RYN41" s="227"/>
      <c r="RYO41" s="228"/>
      <c r="RYP41" s="228"/>
      <c r="RYQ41" s="228"/>
      <c r="RYR41" s="228"/>
      <c r="RYS41" s="228"/>
      <c r="RYT41" s="228"/>
      <c r="RYU41" s="226"/>
      <c r="RYV41" s="226"/>
      <c r="RYW41" s="224"/>
      <c r="RYX41" s="225"/>
      <c r="RYY41" s="226"/>
      <c r="RYZ41" s="227"/>
      <c r="RZA41" s="228"/>
      <c r="RZB41" s="228"/>
      <c r="RZC41" s="228"/>
      <c r="RZD41" s="228"/>
      <c r="RZE41" s="228"/>
      <c r="RZF41" s="228"/>
      <c r="RZG41" s="226"/>
      <c r="RZH41" s="226"/>
      <c r="RZI41" s="224"/>
      <c r="RZJ41" s="225"/>
      <c r="RZK41" s="226"/>
      <c r="RZL41" s="227"/>
      <c r="RZM41" s="228"/>
      <c r="RZN41" s="228"/>
      <c r="RZO41" s="228"/>
      <c r="RZP41" s="228"/>
      <c r="RZQ41" s="228"/>
      <c r="RZR41" s="228"/>
      <c r="RZS41" s="226"/>
      <c r="RZT41" s="226"/>
      <c r="RZU41" s="224"/>
      <c r="RZV41" s="225"/>
      <c r="RZW41" s="226"/>
      <c r="RZX41" s="227"/>
      <c r="RZY41" s="228"/>
      <c r="RZZ41" s="228"/>
      <c r="SAA41" s="228"/>
      <c r="SAB41" s="228"/>
      <c r="SAC41" s="228"/>
      <c r="SAD41" s="228"/>
      <c r="SAE41" s="226"/>
      <c r="SAF41" s="226"/>
      <c r="SAG41" s="224"/>
      <c r="SAH41" s="225"/>
      <c r="SAI41" s="226"/>
      <c r="SAJ41" s="227"/>
      <c r="SAK41" s="228"/>
      <c r="SAL41" s="228"/>
      <c r="SAM41" s="228"/>
      <c r="SAN41" s="228"/>
      <c r="SAO41" s="228"/>
      <c r="SAP41" s="228"/>
      <c r="SAQ41" s="226"/>
      <c r="SAR41" s="226"/>
      <c r="SAS41" s="224"/>
      <c r="SAT41" s="225"/>
      <c r="SAU41" s="226"/>
      <c r="SAV41" s="227"/>
      <c r="SAW41" s="228"/>
      <c r="SAX41" s="228"/>
      <c r="SAY41" s="228"/>
      <c r="SAZ41" s="228"/>
      <c r="SBA41" s="228"/>
      <c r="SBB41" s="228"/>
      <c r="SBC41" s="226"/>
      <c r="SBD41" s="226"/>
      <c r="SBE41" s="224"/>
      <c r="SBF41" s="225"/>
      <c r="SBG41" s="226"/>
      <c r="SBH41" s="227"/>
      <c r="SBI41" s="228"/>
      <c r="SBJ41" s="228"/>
      <c r="SBK41" s="228"/>
      <c r="SBL41" s="228"/>
      <c r="SBM41" s="228"/>
      <c r="SBN41" s="228"/>
      <c r="SBO41" s="226"/>
      <c r="SBP41" s="226"/>
      <c r="SBQ41" s="224"/>
      <c r="SBR41" s="225"/>
      <c r="SBS41" s="226"/>
      <c r="SBT41" s="227"/>
      <c r="SBU41" s="228"/>
      <c r="SBV41" s="228"/>
      <c r="SBW41" s="228"/>
      <c r="SBX41" s="228"/>
      <c r="SBY41" s="228"/>
      <c r="SBZ41" s="228"/>
      <c r="SCA41" s="226"/>
      <c r="SCB41" s="226"/>
      <c r="SCC41" s="224"/>
      <c r="SCD41" s="225"/>
      <c r="SCE41" s="226"/>
      <c r="SCF41" s="227"/>
      <c r="SCG41" s="228"/>
      <c r="SCH41" s="228"/>
      <c r="SCI41" s="228"/>
      <c r="SCJ41" s="228"/>
      <c r="SCK41" s="228"/>
      <c r="SCL41" s="228"/>
      <c r="SCM41" s="226"/>
      <c r="SCN41" s="226"/>
      <c r="SCO41" s="224"/>
      <c r="SCP41" s="225"/>
      <c r="SCQ41" s="226"/>
      <c r="SCR41" s="227"/>
      <c r="SCS41" s="228"/>
      <c r="SCT41" s="228"/>
      <c r="SCU41" s="228"/>
      <c r="SCV41" s="228"/>
      <c r="SCW41" s="228"/>
      <c r="SCX41" s="228"/>
      <c r="SCY41" s="226"/>
      <c r="SCZ41" s="226"/>
      <c r="SDA41" s="224"/>
      <c r="SDB41" s="225"/>
      <c r="SDC41" s="226"/>
      <c r="SDD41" s="227"/>
      <c r="SDE41" s="228"/>
      <c r="SDF41" s="228"/>
      <c r="SDG41" s="228"/>
      <c r="SDH41" s="228"/>
      <c r="SDI41" s="228"/>
      <c r="SDJ41" s="228"/>
      <c r="SDK41" s="226"/>
      <c r="SDL41" s="226"/>
      <c r="SDM41" s="224"/>
      <c r="SDN41" s="225"/>
      <c r="SDO41" s="226"/>
      <c r="SDP41" s="227"/>
      <c r="SDQ41" s="228"/>
      <c r="SDR41" s="228"/>
      <c r="SDS41" s="228"/>
      <c r="SDT41" s="228"/>
      <c r="SDU41" s="228"/>
      <c r="SDV41" s="228"/>
      <c r="SDW41" s="226"/>
      <c r="SDX41" s="226"/>
      <c r="SDY41" s="224"/>
      <c r="SDZ41" s="225"/>
      <c r="SEA41" s="226"/>
      <c r="SEB41" s="227"/>
      <c r="SEC41" s="228"/>
      <c r="SED41" s="228"/>
      <c r="SEE41" s="228"/>
      <c r="SEF41" s="228"/>
      <c r="SEG41" s="228"/>
      <c r="SEH41" s="228"/>
      <c r="SEI41" s="226"/>
      <c r="SEJ41" s="226"/>
      <c r="SEK41" s="224"/>
      <c r="SEL41" s="225"/>
      <c r="SEM41" s="226"/>
      <c r="SEN41" s="227"/>
      <c r="SEO41" s="228"/>
      <c r="SEP41" s="228"/>
      <c r="SEQ41" s="228"/>
      <c r="SER41" s="228"/>
      <c r="SES41" s="228"/>
      <c r="SET41" s="228"/>
      <c r="SEU41" s="226"/>
      <c r="SEV41" s="226"/>
      <c r="SEW41" s="224"/>
      <c r="SEX41" s="225"/>
      <c r="SEY41" s="226"/>
      <c r="SEZ41" s="227"/>
      <c r="SFA41" s="228"/>
      <c r="SFB41" s="228"/>
      <c r="SFC41" s="228"/>
      <c r="SFD41" s="228"/>
      <c r="SFE41" s="228"/>
      <c r="SFF41" s="228"/>
      <c r="SFG41" s="226"/>
      <c r="SFH41" s="226"/>
      <c r="SFI41" s="224"/>
      <c r="SFJ41" s="225"/>
      <c r="SFK41" s="226"/>
      <c r="SFL41" s="227"/>
      <c r="SFM41" s="228"/>
      <c r="SFN41" s="228"/>
      <c r="SFO41" s="228"/>
      <c r="SFP41" s="228"/>
      <c r="SFQ41" s="228"/>
      <c r="SFR41" s="228"/>
      <c r="SFS41" s="226"/>
      <c r="SFT41" s="226"/>
      <c r="SFU41" s="224"/>
      <c r="SFV41" s="225"/>
      <c r="SFW41" s="226"/>
      <c r="SFX41" s="227"/>
      <c r="SFY41" s="228"/>
      <c r="SFZ41" s="228"/>
      <c r="SGA41" s="228"/>
      <c r="SGB41" s="228"/>
      <c r="SGC41" s="228"/>
      <c r="SGD41" s="228"/>
      <c r="SGE41" s="226"/>
      <c r="SGF41" s="226"/>
      <c r="SGG41" s="224"/>
      <c r="SGH41" s="225"/>
      <c r="SGI41" s="226"/>
      <c r="SGJ41" s="227"/>
      <c r="SGK41" s="228"/>
      <c r="SGL41" s="228"/>
      <c r="SGM41" s="228"/>
      <c r="SGN41" s="228"/>
      <c r="SGO41" s="228"/>
      <c r="SGP41" s="228"/>
      <c r="SGQ41" s="226"/>
      <c r="SGR41" s="226"/>
      <c r="SGS41" s="224"/>
      <c r="SGT41" s="225"/>
      <c r="SGU41" s="226"/>
      <c r="SGV41" s="227"/>
      <c r="SGW41" s="228"/>
      <c r="SGX41" s="228"/>
      <c r="SGY41" s="228"/>
      <c r="SGZ41" s="228"/>
      <c r="SHA41" s="228"/>
      <c r="SHB41" s="228"/>
      <c r="SHC41" s="226"/>
      <c r="SHD41" s="226"/>
      <c r="SHE41" s="224"/>
      <c r="SHF41" s="225"/>
      <c r="SHG41" s="226"/>
      <c r="SHH41" s="227"/>
      <c r="SHI41" s="228"/>
      <c r="SHJ41" s="228"/>
      <c r="SHK41" s="228"/>
      <c r="SHL41" s="228"/>
      <c r="SHM41" s="228"/>
      <c r="SHN41" s="228"/>
      <c r="SHO41" s="226"/>
      <c r="SHP41" s="226"/>
      <c r="SHQ41" s="224"/>
      <c r="SHR41" s="225"/>
      <c r="SHS41" s="226"/>
      <c r="SHT41" s="227"/>
      <c r="SHU41" s="228"/>
      <c r="SHV41" s="228"/>
      <c r="SHW41" s="228"/>
      <c r="SHX41" s="228"/>
      <c r="SHY41" s="228"/>
      <c r="SHZ41" s="228"/>
      <c r="SIA41" s="226"/>
      <c r="SIB41" s="226"/>
      <c r="SIC41" s="224"/>
      <c r="SID41" s="225"/>
      <c r="SIE41" s="226"/>
      <c r="SIF41" s="227"/>
      <c r="SIG41" s="228"/>
      <c r="SIH41" s="228"/>
      <c r="SII41" s="228"/>
      <c r="SIJ41" s="228"/>
      <c r="SIK41" s="228"/>
      <c r="SIL41" s="228"/>
      <c r="SIM41" s="226"/>
      <c r="SIN41" s="226"/>
      <c r="SIO41" s="224"/>
      <c r="SIP41" s="225"/>
      <c r="SIQ41" s="226"/>
      <c r="SIR41" s="227"/>
      <c r="SIS41" s="228"/>
      <c r="SIT41" s="228"/>
      <c r="SIU41" s="228"/>
      <c r="SIV41" s="228"/>
      <c r="SIW41" s="228"/>
      <c r="SIX41" s="228"/>
      <c r="SIY41" s="226"/>
      <c r="SIZ41" s="226"/>
      <c r="SJA41" s="224"/>
      <c r="SJB41" s="225"/>
      <c r="SJC41" s="226"/>
      <c r="SJD41" s="227"/>
      <c r="SJE41" s="228"/>
      <c r="SJF41" s="228"/>
      <c r="SJG41" s="228"/>
      <c r="SJH41" s="228"/>
      <c r="SJI41" s="228"/>
      <c r="SJJ41" s="228"/>
      <c r="SJK41" s="226"/>
      <c r="SJL41" s="226"/>
      <c r="SJM41" s="224"/>
      <c r="SJN41" s="225"/>
      <c r="SJO41" s="226"/>
      <c r="SJP41" s="227"/>
      <c r="SJQ41" s="228"/>
      <c r="SJR41" s="228"/>
      <c r="SJS41" s="228"/>
      <c r="SJT41" s="228"/>
      <c r="SJU41" s="228"/>
      <c r="SJV41" s="228"/>
      <c r="SJW41" s="226"/>
      <c r="SJX41" s="226"/>
      <c r="SJY41" s="224"/>
      <c r="SJZ41" s="225"/>
      <c r="SKA41" s="226"/>
      <c r="SKB41" s="227"/>
      <c r="SKC41" s="228"/>
      <c r="SKD41" s="228"/>
      <c r="SKE41" s="228"/>
      <c r="SKF41" s="228"/>
      <c r="SKG41" s="228"/>
      <c r="SKH41" s="228"/>
      <c r="SKI41" s="226"/>
      <c r="SKJ41" s="226"/>
      <c r="SKK41" s="224"/>
      <c r="SKL41" s="225"/>
      <c r="SKM41" s="226"/>
      <c r="SKN41" s="227"/>
      <c r="SKO41" s="228"/>
      <c r="SKP41" s="228"/>
      <c r="SKQ41" s="228"/>
      <c r="SKR41" s="228"/>
      <c r="SKS41" s="228"/>
      <c r="SKT41" s="228"/>
      <c r="SKU41" s="226"/>
      <c r="SKV41" s="226"/>
      <c r="SKW41" s="224"/>
      <c r="SKX41" s="225"/>
      <c r="SKY41" s="226"/>
      <c r="SKZ41" s="227"/>
      <c r="SLA41" s="228"/>
      <c r="SLB41" s="228"/>
      <c r="SLC41" s="228"/>
      <c r="SLD41" s="228"/>
      <c r="SLE41" s="228"/>
      <c r="SLF41" s="228"/>
      <c r="SLG41" s="226"/>
      <c r="SLH41" s="226"/>
      <c r="SLI41" s="224"/>
      <c r="SLJ41" s="225"/>
      <c r="SLK41" s="226"/>
      <c r="SLL41" s="227"/>
      <c r="SLM41" s="228"/>
      <c r="SLN41" s="228"/>
      <c r="SLO41" s="228"/>
      <c r="SLP41" s="228"/>
      <c r="SLQ41" s="228"/>
      <c r="SLR41" s="228"/>
      <c r="SLS41" s="226"/>
      <c r="SLT41" s="226"/>
      <c r="SLU41" s="224"/>
      <c r="SLV41" s="225"/>
      <c r="SLW41" s="226"/>
      <c r="SLX41" s="227"/>
      <c r="SLY41" s="228"/>
      <c r="SLZ41" s="228"/>
      <c r="SMA41" s="228"/>
      <c r="SMB41" s="228"/>
      <c r="SMC41" s="228"/>
      <c r="SMD41" s="228"/>
      <c r="SME41" s="226"/>
      <c r="SMF41" s="226"/>
      <c r="SMG41" s="224"/>
      <c r="SMH41" s="225"/>
      <c r="SMI41" s="226"/>
      <c r="SMJ41" s="227"/>
      <c r="SMK41" s="228"/>
      <c r="SML41" s="228"/>
      <c r="SMM41" s="228"/>
      <c r="SMN41" s="228"/>
      <c r="SMO41" s="228"/>
      <c r="SMP41" s="228"/>
      <c r="SMQ41" s="226"/>
      <c r="SMR41" s="226"/>
      <c r="SMS41" s="224"/>
      <c r="SMT41" s="225"/>
      <c r="SMU41" s="226"/>
      <c r="SMV41" s="227"/>
      <c r="SMW41" s="228"/>
      <c r="SMX41" s="228"/>
      <c r="SMY41" s="228"/>
      <c r="SMZ41" s="228"/>
      <c r="SNA41" s="228"/>
      <c r="SNB41" s="228"/>
      <c r="SNC41" s="226"/>
      <c r="SND41" s="226"/>
      <c r="SNE41" s="224"/>
      <c r="SNF41" s="225"/>
      <c r="SNG41" s="226"/>
      <c r="SNH41" s="227"/>
      <c r="SNI41" s="228"/>
      <c r="SNJ41" s="228"/>
      <c r="SNK41" s="228"/>
      <c r="SNL41" s="228"/>
      <c r="SNM41" s="228"/>
      <c r="SNN41" s="228"/>
      <c r="SNO41" s="226"/>
      <c r="SNP41" s="226"/>
      <c r="SNQ41" s="224"/>
      <c r="SNR41" s="225"/>
      <c r="SNS41" s="226"/>
      <c r="SNT41" s="227"/>
      <c r="SNU41" s="228"/>
      <c r="SNV41" s="228"/>
      <c r="SNW41" s="228"/>
      <c r="SNX41" s="228"/>
      <c r="SNY41" s="228"/>
      <c r="SNZ41" s="228"/>
      <c r="SOA41" s="226"/>
      <c r="SOB41" s="226"/>
      <c r="SOC41" s="224"/>
      <c r="SOD41" s="225"/>
      <c r="SOE41" s="226"/>
      <c r="SOF41" s="227"/>
      <c r="SOG41" s="228"/>
      <c r="SOH41" s="228"/>
      <c r="SOI41" s="228"/>
      <c r="SOJ41" s="228"/>
      <c r="SOK41" s="228"/>
      <c r="SOL41" s="228"/>
      <c r="SOM41" s="226"/>
      <c r="SON41" s="226"/>
      <c r="SOO41" s="224"/>
      <c r="SOP41" s="225"/>
      <c r="SOQ41" s="226"/>
      <c r="SOR41" s="227"/>
      <c r="SOS41" s="228"/>
      <c r="SOT41" s="228"/>
      <c r="SOU41" s="228"/>
      <c r="SOV41" s="228"/>
      <c r="SOW41" s="228"/>
      <c r="SOX41" s="228"/>
      <c r="SOY41" s="226"/>
      <c r="SOZ41" s="226"/>
      <c r="SPA41" s="224"/>
      <c r="SPB41" s="225"/>
      <c r="SPC41" s="226"/>
      <c r="SPD41" s="227"/>
      <c r="SPE41" s="228"/>
      <c r="SPF41" s="228"/>
      <c r="SPG41" s="228"/>
      <c r="SPH41" s="228"/>
      <c r="SPI41" s="228"/>
      <c r="SPJ41" s="228"/>
      <c r="SPK41" s="226"/>
      <c r="SPL41" s="226"/>
      <c r="SPM41" s="224"/>
      <c r="SPN41" s="225"/>
      <c r="SPO41" s="226"/>
      <c r="SPP41" s="227"/>
      <c r="SPQ41" s="228"/>
      <c r="SPR41" s="228"/>
      <c r="SPS41" s="228"/>
      <c r="SPT41" s="228"/>
      <c r="SPU41" s="228"/>
      <c r="SPV41" s="228"/>
      <c r="SPW41" s="226"/>
      <c r="SPX41" s="226"/>
      <c r="SPY41" s="224"/>
      <c r="SPZ41" s="225"/>
      <c r="SQA41" s="226"/>
      <c r="SQB41" s="227"/>
      <c r="SQC41" s="228"/>
      <c r="SQD41" s="228"/>
      <c r="SQE41" s="228"/>
      <c r="SQF41" s="228"/>
      <c r="SQG41" s="228"/>
      <c r="SQH41" s="228"/>
      <c r="SQI41" s="226"/>
      <c r="SQJ41" s="226"/>
      <c r="SQK41" s="224"/>
      <c r="SQL41" s="225"/>
      <c r="SQM41" s="226"/>
      <c r="SQN41" s="227"/>
      <c r="SQO41" s="228"/>
      <c r="SQP41" s="228"/>
      <c r="SQQ41" s="228"/>
      <c r="SQR41" s="228"/>
      <c r="SQS41" s="228"/>
      <c r="SQT41" s="228"/>
      <c r="SQU41" s="226"/>
      <c r="SQV41" s="226"/>
      <c r="SQW41" s="224"/>
      <c r="SQX41" s="225"/>
      <c r="SQY41" s="226"/>
      <c r="SQZ41" s="227"/>
      <c r="SRA41" s="228"/>
      <c r="SRB41" s="228"/>
      <c r="SRC41" s="228"/>
      <c r="SRD41" s="228"/>
      <c r="SRE41" s="228"/>
      <c r="SRF41" s="228"/>
      <c r="SRG41" s="226"/>
      <c r="SRH41" s="226"/>
      <c r="SRI41" s="224"/>
      <c r="SRJ41" s="225"/>
      <c r="SRK41" s="226"/>
      <c r="SRL41" s="227"/>
      <c r="SRM41" s="228"/>
      <c r="SRN41" s="228"/>
      <c r="SRO41" s="228"/>
      <c r="SRP41" s="228"/>
      <c r="SRQ41" s="228"/>
      <c r="SRR41" s="228"/>
      <c r="SRS41" s="226"/>
      <c r="SRT41" s="226"/>
      <c r="SRU41" s="224"/>
      <c r="SRV41" s="225"/>
      <c r="SRW41" s="226"/>
      <c r="SRX41" s="227"/>
      <c r="SRY41" s="228"/>
      <c r="SRZ41" s="228"/>
      <c r="SSA41" s="228"/>
      <c r="SSB41" s="228"/>
      <c r="SSC41" s="228"/>
      <c r="SSD41" s="228"/>
      <c r="SSE41" s="226"/>
      <c r="SSF41" s="226"/>
      <c r="SSG41" s="224"/>
      <c r="SSH41" s="225"/>
      <c r="SSI41" s="226"/>
      <c r="SSJ41" s="227"/>
      <c r="SSK41" s="228"/>
      <c r="SSL41" s="228"/>
      <c r="SSM41" s="228"/>
      <c r="SSN41" s="228"/>
      <c r="SSO41" s="228"/>
      <c r="SSP41" s="228"/>
      <c r="SSQ41" s="226"/>
      <c r="SSR41" s="226"/>
      <c r="SSS41" s="224"/>
      <c r="SST41" s="225"/>
      <c r="SSU41" s="226"/>
      <c r="SSV41" s="227"/>
      <c r="SSW41" s="228"/>
      <c r="SSX41" s="228"/>
      <c r="SSY41" s="228"/>
      <c r="SSZ41" s="228"/>
      <c r="STA41" s="228"/>
      <c r="STB41" s="228"/>
      <c r="STC41" s="226"/>
      <c r="STD41" s="226"/>
      <c r="STE41" s="224"/>
      <c r="STF41" s="225"/>
      <c r="STG41" s="226"/>
      <c r="STH41" s="227"/>
      <c r="STI41" s="228"/>
      <c r="STJ41" s="228"/>
      <c r="STK41" s="228"/>
      <c r="STL41" s="228"/>
      <c r="STM41" s="228"/>
      <c r="STN41" s="228"/>
      <c r="STO41" s="226"/>
      <c r="STP41" s="226"/>
      <c r="STQ41" s="224"/>
      <c r="STR41" s="225"/>
      <c r="STS41" s="226"/>
      <c r="STT41" s="227"/>
      <c r="STU41" s="228"/>
      <c r="STV41" s="228"/>
      <c r="STW41" s="228"/>
      <c r="STX41" s="228"/>
      <c r="STY41" s="228"/>
      <c r="STZ41" s="228"/>
      <c r="SUA41" s="226"/>
      <c r="SUB41" s="226"/>
      <c r="SUC41" s="224"/>
      <c r="SUD41" s="225"/>
      <c r="SUE41" s="226"/>
      <c r="SUF41" s="227"/>
      <c r="SUG41" s="228"/>
      <c r="SUH41" s="228"/>
      <c r="SUI41" s="228"/>
      <c r="SUJ41" s="228"/>
      <c r="SUK41" s="228"/>
      <c r="SUL41" s="228"/>
      <c r="SUM41" s="226"/>
      <c r="SUN41" s="226"/>
      <c r="SUO41" s="224"/>
      <c r="SUP41" s="225"/>
      <c r="SUQ41" s="226"/>
      <c r="SUR41" s="227"/>
      <c r="SUS41" s="228"/>
      <c r="SUT41" s="228"/>
      <c r="SUU41" s="228"/>
      <c r="SUV41" s="228"/>
      <c r="SUW41" s="228"/>
      <c r="SUX41" s="228"/>
      <c r="SUY41" s="226"/>
      <c r="SUZ41" s="226"/>
      <c r="SVA41" s="224"/>
      <c r="SVB41" s="225"/>
      <c r="SVC41" s="226"/>
      <c r="SVD41" s="227"/>
      <c r="SVE41" s="228"/>
      <c r="SVF41" s="228"/>
      <c r="SVG41" s="228"/>
      <c r="SVH41" s="228"/>
      <c r="SVI41" s="228"/>
      <c r="SVJ41" s="228"/>
      <c r="SVK41" s="226"/>
      <c r="SVL41" s="226"/>
      <c r="SVM41" s="224"/>
      <c r="SVN41" s="225"/>
      <c r="SVO41" s="226"/>
      <c r="SVP41" s="227"/>
      <c r="SVQ41" s="228"/>
      <c r="SVR41" s="228"/>
      <c r="SVS41" s="228"/>
      <c r="SVT41" s="228"/>
      <c r="SVU41" s="228"/>
      <c r="SVV41" s="228"/>
      <c r="SVW41" s="226"/>
      <c r="SVX41" s="226"/>
      <c r="SVY41" s="224"/>
      <c r="SVZ41" s="225"/>
      <c r="SWA41" s="226"/>
      <c r="SWB41" s="227"/>
      <c r="SWC41" s="228"/>
      <c r="SWD41" s="228"/>
      <c r="SWE41" s="228"/>
      <c r="SWF41" s="228"/>
      <c r="SWG41" s="228"/>
      <c r="SWH41" s="228"/>
      <c r="SWI41" s="226"/>
      <c r="SWJ41" s="226"/>
      <c r="SWK41" s="224"/>
      <c r="SWL41" s="225"/>
      <c r="SWM41" s="226"/>
      <c r="SWN41" s="227"/>
      <c r="SWO41" s="228"/>
      <c r="SWP41" s="228"/>
      <c r="SWQ41" s="228"/>
      <c r="SWR41" s="228"/>
      <c r="SWS41" s="228"/>
      <c r="SWT41" s="228"/>
      <c r="SWU41" s="226"/>
      <c r="SWV41" s="226"/>
      <c r="SWW41" s="224"/>
      <c r="SWX41" s="225"/>
      <c r="SWY41" s="226"/>
      <c r="SWZ41" s="227"/>
      <c r="SXA41" s="228"/>
      <c r="SXB41" s="228"/>
      <c r="SXC41" s="228"/>
      <c r="SXD41" s="228"/>
      <c r="SXE41" s="228"/>
      <c r="SXF41" s="228"/>
      <c r="SXG41" s="226"/>
      <c r="SXH41" s="226"/>
      <c r="SXI41" s="224"/>
      <c r="SXJ41" s="225"/>
      <c r="SXK41" s="226"/>
      <c r="SXL41" s="227"/>
      <c r="SXM41" s="228"/>
      <c r="SXN41" s="228"/>
      <c r="SXO41" s="228"/>
      <c r="SXP41" s="228"/>
      <c r="SXQ41" s="228"/>
      <c r="SXR41" s="228"/>
      <c r="SXS41" s="226"/>
      <c r="SXT41" s="226"/>
      <c r="SXU41" s="224"/>
      <c r="SXV41" s="225"/>
      <c r="SXW41" s="226"/>
      <c r="SXX41" s="227"/>
      <c r="SXY41" s="228"/>
      <c r="SXZ41" s="228"/>
      <c r="SYA41" s="228"/>
      <c r="SYB41" s="228"/>
      <c r="SYC41" s="228"/>
      <c r="SYD41" s="228"/>
      <c r="SYE41" s="226"/>
      <c r="SYF41" s="226"/>
      <c r="SYG41" s="224"/>
      <c r="SYH41" s="225"/>
      <c r="SYI41" s="226"/>
      <c r="SYJ41" s="227"/>
      <c r="SYK41" s="228"/>
      <c r="SYL41" s="228"/>
      <c r="SYM41" s="228"/>
      <c r="SYN41" s="228"/>
      <c r="SYO41" s="228"/>
      <c r="SYP41" s="228"/>
      <c r="SYQ41" s="226"/>
      <c r="SYR41" s="226"/>
      <c r="SYS41" s="224"/>
      <c r="SYT41" s="225"/>
      <c r="SYU41" s="226"/>
      <c r="SYV41" s="227"/>
      <c r="SYW41" s="228"/>
      <c r="SYX41" s="228"/>
      <c r="SYY41" s="228"/>
      <c r="SYZ41" s="228"/>
      <c r="SZA41" s="228"/>
      <c r="SZB41" s="228"/>
      <c r="SZC41" s="226"/>
      <c r="SZD41" s="226"/>
      <c r="SZE41" s="224"/>
      <c r="SZF41" s="225"/>
      <c r="SZG41" s="226"/>
      <c r="SZH41" s="227"/>
      <c r="SZI41" s="228"/>
      <c r="SZJ41" s="228"/>
      <c r="SZK41" s="228"/>
      <c r="SZL41" s="228"/>
      <c r="SZM41" s="228"/>
      <c r="SZN41" s="228"/>
      <c r="SZO41" s="226"/>
      <c r="SZP41" s="226"/>
      <c r="SZQ41" s="224"/>
      <c r="SZR41" s="225"/>
      <c r="SZS41" s="226"/>
      <c r="SZT41" s="227"/>
      <c r="SZU41" s="228"/>
      <c r="SZV41" s="228"/>
      <c r="SZW41" s="228"/>
      <c r="SZX41" s="228"/>
      <c r="SZY41" s="228"/>
      <c r="SZZ41" s="228"/>
      <c r="TAA41" s="226"/>
      <c r="TAB41" s="226"/>
      <c r="TAC41" s="224"/>
      <c r="TAD41" s="225"/>
      <c r="TAE41" s="226"/>
      <c r="TAF41" s="227"/>
      <c r="TAG41" s="228"/>
      <c r="TAH41" s="228"/>
      <c r="TAI41" s="228"/>
      <c r="TAJ41" s="228"/>
      <c r="TAK41" s="228"/>
      <c r="TAL41" s="228"/>
      <c r="TAM41" s="226"/>
      <c r="TAN41" s="226"/>
      <c r="TAO41" s="224"/>
      <c r="TAP41" s="225"/>
      <c r="TAQ41" s="226"/>
      <c r="TAR41" s="227"/>
      <c r="TAS41" s="228"/>
      <c r="TAT41" s="228"/>
      <c r="TAU41" s="228"/>
      <c r="TAV41" s="228"/>
      <c r="TAW41" s="228"/>
      <c r="TAX41" s="228"/>
      <c r="TAY41" s="226"/>
      <c r="TAZ41" s="226"/>
      <c r="TBA41" s="224"/>
      <c r="TBB41" s="225"/>
      <c r="TBC41" s="226"/>
      <c r="TBD41" s="227"/>
      <c r="TBE41" s="228"/>
      <c r="TBF41" s="228"/>
      <c r="TBG41" s="228"/>
      <c r="TBH41" s="228"/>
      <c r="TBI41" s="228"/>
      <c r="TBJ41" s="228"/>
      <c r="TBK41" s="226"/>
      <c r="TBL41" s="226"/>
      <c r="TBM41" s="224"/>
      <c r="TBN41" s="225"/>
      <c r="TBO41" s="226"/>
      <c r="TBP41" s="227"/>
      <c r="TBQ41" s="228"/>
      <c r="TBR41" s="228"/>
      <c r="TBS41" s="228"/>
      <c r="TBT41" s="228"/>
      <c r="TBU41" s="228"/>
      <c r="TBV41" s="228"/>
      <c r="TBW41" s="226"/>
      <c r="TBX41" s="226"/>
      <c r="TBY41" s="224"/>
      <c r="TBZ41" s="225"/>
      <c r="TCA41" s="226"/>
      <c r="TCB41" s="227"/>
      <c r="TCC41" s="228"/>
      <c r="TCD41" s="228"/>
      <c r="TCE41" s="228"/>
      <c r="TCF41" s="228"/>
      <c r="TCG41" s="228"/>
      <c r="TCH41" s="228"/>
      <c r="TCI41" s="226"/>
      <c r="TCJ41" s="226"/>
      <c r="TCK41" s="224"/>
      <c r="TCL41" s="225"/>
      <c r="TCM41" s="226"/>
      <c r="TCN41" s="227"/>
      <c r="TCO41" s="228"/>
      <c r="TCP41" s="228"/>
      <c r="TCQ41" s="228"/>
      <c r="TCR41" s="228"/>
      <c r="TCS41" s="228"/>
      <c r="TCT41" s="228"/>
      <c r="TCU41" s="226"/>
      <c r="TCV41" s="226"/>
      <c r="TCW41" s="224"/>
      <c r="TCX41" s="225"/>
      <c r="TCY41" s="226"/>
      <c r="TCZ41" s="227"/>
      <c r="TDA41" s="228"/>
      <c r="TDB41" s="228"/>
      <c r="TDC41" s="228"/>
      <c r="TDD41" s="228"/>
      <c r="TDE41" s="228"/>
      <c r="TDF41" s="228"/>
      <c r="TDG41" s="226"/>
      <c r="TDH41" s="226"/>
      <c r="TDI41" s="224"/>
      <c r="TDJ41" s="225"/>
      <c r="TDK41" s="226"/>
      <c r="TDL41" s="227"/>
      <c r="TDM41" s="228"/>
      <c r="TDN41" s="228"/>
      <c r="TDO41" s="228"/>
      <c r="TDP41" s="228"/>
      <c r="TDQ41" s="228"/>
      <c r="TDR41" s="228"/>
      <c r="TDS41" s="226"/>
      <c r="TDT41" s="226"/>
      <c r="TDU41" s="224"/>
      <c r="TDV41" s="225"/>
      <c r="TDW41" s="226"/>
      <c r="TDX41" s="227"/>
      <c r="TDY41" s="228"/>
      <c r="TDZ41" s="228"/>
      <c r="TEA41" s="228"/>
      <c r="TEB41" s="228"/>
      <c r="TEC41" s="228"/>
      <c r="TED41" s="228"/>
      <c r="TEE41" s="226"/>
      <c r="TEF41" s="226"/>
      <c r="TEG41" s="224"/>
      <c r="TEH41" s="225"/>
      <c r="TEI41" s="226"/>
      <c r="TEJ41" s="227"/>
      <c r="TEK41" s="228"/>
      <c r="TEL41" s="228"/>
      <c r="TEM41" s="228"/>
      <c r="TEN41" s="228"/>
      <c r="TEO41" s="228"/>
      <c r="TEP41" s="228"/>
      <c r="TEQ41" s="226"/>
      <c r="TER41" s="226"/>
      <c r="TES41" s="224"/>
      <c r="TET41" s="225"/>
      <c r="TEU41" s="226"/>
      <c r="TEV41" s="227"/>
      <c r="TEW41" s="228"/>
      <c r="TEX41" s="228"/>
      <c r="TEY41" s="228"/>
      <c r="TEZ41" s="228"/>
      <c r="TFA41" s="228"/>
      <c r="TFB41" s="228"/>
      <c r="TFC41" s="226"/>
      <c r="TFD41" s="226"/>
      <c r="TFE41" s="224"/>
      <c r="TFF41" s="225"/>
      <c r="TFG41" s="226"/>
      <c r="TFH41" s="227"/>
      <c r="TFI41" s="228"/>
      <c r="TFJ41" s="228"/>
      <c r="TFK41" s="228"/>
      <c r="TFL41" s="228"/>
      <c r="TFM41" s="228"/>
      <c r="TFN41" s="228"/>
      <c r="TFO41" s="226"/>
      <c r="TFP41" s="226"/>
      <c r="TFQ41" s="224"/>
      <c r="TFR41" s="225"/>
      <c r="TFS41" s="226"/>
      <c r="TFT41" s="227"/>
      <c r="TFU41" s="228"/>
      <c r="TFV41" s="228"/>
      <c r="TFW41" s="228"/>
      <c r="TFX41" s="228"/>
      <c r="TFY41" s="228"/>
      <c r="TFZ41" s="228"/>
      <c r="TGA41" s="226"/>
      <c r="TGB41" s="226"/>
      <c r="TGC41" s="224"/>
      <c r="TGD41" s="225"/>
      <c r="TGE41" s="226"/>
      <c r="TGF41" s="227"/>
      <c r="TGG41" s="228"/>
      <c r="TGH41" s="228"/>
      <c r="TGI41" s="228"/>
      <c r="TGJ41" s="228"/>
      <c r="TGK41" s="228"/>
      <c r="TGL41" s="228"/>
      <c r="TGM41" s="226"/>
      <c r="TGN41" s="226"/>
      <c r="TGO41" s="224"/>
      <c r="TGP41" s="225"/>
      <c r="TGQ41" s="226"/>
      <c r="TGR41" s="227"/>
      <c r="TGS41" s="228"/>
      <c r="TGT41" s="228"/>
      <c r="TGU41" s="228"/>
      <c r="TGV41" s="228"/>
      <c r="TGW41" s="228"/>
      <c r="TGX41" s="228"/>
      <c r="TGY41" s="226"/>
      <c r="TGZ41" s="226"/>
      <c r="THA41" s="224"/>
      <c r="THB41" s="225"/>
      <c r="THC41" s="226"/>
      <c r="THD41" s="227"/>
      <c r="THE41" s="228"/>
      <c r="THF41" s="228"/>
      <c r="THG41" s="228"/>
      <c r="THH41" s="228"/>
      <c r="THI41" s="228"/>
      <c r="THJ41" s="228"/>
      <c r="THK41" s="226"/>
      <c r="THL41" s="226"/>
      <c r="THM41" s="224"/>
      <c r="THN41" s="225"/>
      <c r="THO41" s="226"/>
      <c r="THP41" s="227"/>
      <c r="THQ41" s="228"/>
      <c r="THR41" s="228"/>
      <c r="THS41" s="228"/>
      <c r="THT41" s="228"/>
      <c r="THU41" s="228"/>
      <c r="THV41" s="228"/>
      <c r="THW41" s="226"/>
      <c r="THX41" s="226"/>
      <c r="THY41" s="224"/>
      <c r="THZ41" s="225"/>
      <c r="TIA41" s="226"/>
      <c r="TIB41" s="227"/>
      <c r="TIC41" s="228"/>
      <c r="TID41" s="228"/>
      <c r="TIE41" s="228"/>
      <c r="TIF41" s="228"/>
      <c r="TIG41" s="228"/>
      <c r="TIH41" s="228"/>
      <c r="TII41" s="226"/>
      <c r="TIJ41" s="226"/>
      <c r="TIK41" s="224"/>
      <c r="TIL41" s="225"/>
      <c r="TIM41" s="226"/>
      <c r="TIN41" s="227"/>
      <c r="TIO41" s="228"/>
      <c r="TIP41" s="228"/>
      <c r="TIQ41" s="228"/>
      <c r="TIR41" s="228"/>
      <c r="TIS41" s="228"/>
      <c r="TIT41" s="228"/>
      <c r="TIU41" s="226"/>
      <c r="TIV41" s="226"/>
      <c r="TIW41" s="224"/>
      <c r="TIX41" s="225"/>
      <c r="TIY41" s="226"/>
      <c r="TIZ41" s="227"/>
      <c r="TJA41" s="228"/>
      <c r="TJB41" s="228"/>
      <c r="TJC41" s="228"/>
      <c r="TJD41" s="228"/>
      <c r="TJE41" s="228"/>
      <c r="TJF41" s="228"/>
      <c r="TJG41" s="226"/>
      <c r="TJH41" s="226"/>
      <c r="TJI41" s="224"/>
      <c r="TJJ41" s="225"/>
      <c r="TJK41" s="226"/>
      <c r="TJL41" s="227"/>
      <c r="TJM41" s="228"/>
      <c r="TJN41" s="228"/>
      <c r="TJO41" s="228"/>
      <c r="TJP41" s="228"/>
      <c r="TJQ41" s="228"/>
      <c r="TJR41" s="228"/>
      <c r="TJS41" s="226"/>
      <c r="TJT41" s="226"/>
      <c r="TJU41" s="224"/>
      <c r="TJV41" s="225"/>
      <c r="TJW41" s="226"/>
      <c r="TJX41" s="227"/>
      <c r="TJY41" s="228"/>
      <c r="TJZ41" s="228"/>
      <c r="TKA41" s="228"/>
      <c r="TKB41" s="228"/>
      <c r="TKC41" s="228"/>
      <c r="TKD41" s="228"/>
      <c r="TKE41" s="226"/>
      <c r="TKF41" s="226"/>
      <c r="TKG41" s="224"/>
      <c r="TKH41" s="225"/>
      <c r="TKI41" s="226"/>
      <c r="TKJ41" s="227"/>
      <c r="TKK41" s="228"/>
      <c r="TKL41" s="228"/>
      <c r="TKM41" s="228"/>
      <c r="TKN41" s="228"/>
      <c r="TKO41" s="228"/>
      <c r="TKP41" s="228"/>
      <c r="TKQ41" s="226"/>
      <c r="TKR41" s="226"/>
      <c r="TKS41" s="224"/>
      <c r="TKT41" s="225"/>
      <c r="TKU41" s="226"/>
      <c r="TKV41" s="227"/>
      <c r="TKW41" s="228"/>
      <c r="TKX41" s="228"/>
      <c r="TKY41" s="228"/>
      <c r="TKZ41" s="228"/>
      <c r="TLA41" s="228"/>
      <c r="TLB41" s="228"/>
      <c r="TLC41" s="226"/>
      <c r="TLD41" s="226"/>
      <c r="TLE41" s="224"/>
      <c r="TLF41" s="225"/>
      <c r="TLG41" s="226"/>
      <c r="TLH41" s="227"/>
      <c r="TLI41" s="228"/>
      <c r="TLJ41" s="228"/>
      <c r="TLK41" s="228"/>
      <c r="TLL41" s="228"/>
      <c r="TLM41" s="228"/>
      <c r="TLN41" s="228"/>
      <c r="TLO41" s="226"/>
      <c r="TLP41" s="226"/>
      <c r="TLQ41" s="224"/>
      <c r="TLR41" s="225"/>
      <c r="TLS41" s="226"/>
      <c r="TLT41" s="227"/>
      <c r="TLU41" s="228"/>
      <c r="TLV41" s="228"/>
      <c r="TLW41" s="228"/>
      <c r="TLX41" s="228"/>
      <c r="TLY41" s="228"/>
      <c r="TLZ41" s="228"/>
      <c r="TMA41" s="226"/>
      <c r="TMB41" s="226"/>
      <c r="TMC41" s="224"/>
      <c r="TMD41" s="225"/>
      <c r="TME41" s="226"/>
      <c r="TMF41" s="227"/>
      <c r="TMG41" s="228"/>
      <c r="TMH41" s="228"/>
      <c r="TMI41" s="228"/>
      <c r="TMJ41" s="228"/>
      <c r="TMK41" s="228"/>
      <c r="TML41" s="228"/>
      <c r="TMM41" s="226"/>
      <c r="TMN41" s="226"/>
      <c r="TMO41" s="224"/>
      <c r="TMP41" s="225"/>
      <c r="TMQ41" s="226"/>
      <c r="TMR41" s="227"/>
      <c r="TMS41" s="228"/>
      <c r="TMT41" s="228"/>
      <c r="TMU41" s="228"/>
      <c r="TMV41" s="228"/>
      <c r="TMW41" s="228"/>
      <c r="TMX41" s="228"/>
      <c r="TMY41" s="226"/>
      <c r="TMZ41" s="226"/>
      <c r="TNA41" s="224"/>
      <c r="TNB41" s="225"/>
      <c r="TNC41" s="226"/>
      <c r="TND41" s="227"/>
      <c r="TNE41" s="228"/>
      <c r="TNF41" s="228"/>
      <c r="TNG41" s="228"/>
      <c r="TNH41" s="228"/>
      <c r="TNI41" s="228"/>
      <c r="TNJ41" s="228"/>
      <c r="TNK41" s="226"/>
      <c r="TNL41" s="226"/>
      <c r="TNM41" s="224"/>
      <c r="TNN41" s="225"/>
      <c r="TNO41" s="226"/>
      <c r="TNP41" s="227"/>
      <c r="TNQ41" s="228"/>
      <c r="TNR41" s="228"/>
      <c r="TNS41" s="228"/>
      <c r="TNT41" s="228"/>
      <c r="TNU41" s="228"/>
      <c r="TNV41" s="228"/>
      <c r="TNW41" s="226"/>
      <c r="TNX41" s="226"/>
      <c r="TNY41" s="224"/>
      <c r="TNZ41" s="225"/>
      <c r="TOA41" s="226"/>
      <c r="TOB41" s="227"/>
      <c r="TOC41" s="228"/>
      <c r="TOD41" s="228"/>
      <c r="TOE41" s="228"/>
      <c r="TOF41" s="228"/>
      <c r="TOG41" s="228"/>
      <c r="TOH41" s="228"/>
      <c r="TOI41" s="226"/>
      <c r="TOJ41" s="226"/>
      <c r="TOK41" s="224"/>
      <c r="TOL41" s="225"/>
      <c r="TOM41" s="226"/>
      <c r="TON41" s="227"/>
      <c r="TOO41" s="228"/>
      <c r="TOP41" s="228"/>
      <c r="TOQ41" s="228"/>
      <c r="TOR41" s="228"/>
      <c r="TOS41" s="228"/>
      <c r="TOT41" s="228"/>
      <c r="TOU41" s="226"/>
      <c r="TOV41" s="226"/>
      <c r="TOW41" s="224"/>
      <c r="TOX41" s="225"/>
      <c r="TOY41" s="226"/>
      <c r="TOZ41" s="227"/>
      <c r="TPA41" s="228"/>
      <c r="TPB41" s="228"/>
      <c r="TPC41" s="228"/>
      <c r="TPD41" s="228"/>
      <c r="TPE41" s="228"/>
      <c r="TPF41" s="228"/>
      <c r="TPG41" s="226"/>
      <c r="TPH41" s="226"/>
      <c r="TPI41" s="224"/>
      <c r="TPJ41" s="225"/>
      <c r="TPK41" s="226"/>
      <c r="TPL41" s="227"/>
      <c r="TPM41" s="228"/>
      <c r="TPN41" s="228"/>
      <c r="TPO41" s="228"/>
      <c r="TPP41" s="228"/>
      <c r="TPQ41" s="228"/>
      <c r="TPR41" s="228"/>
      <c r="TPS41" s="226"/>
      <c r="TPT41" s="226"/>
      <c r="TPU41" s="224"/>
      <c r="TPV41" s="225"/>
      <c r="TPW41" s="226"/>
      <c r="TPX41" s="227"/>
      <c r="TPY41" s="228"/>
      <c r="TPZ41" s="228"/>
      <c r="TQA41" s="228"/>
      <c r="TQB41" s="228"/>
      <c r="TQC41" s="228"/>
      <c r="TQD41" s="228"/>
      <c r="TQE41" s="226"/>
      <c r="TQF41" s="226"/>
      <c r="TQG41" s="224"/>
      <c r="TQH41" s="225"/>
      <c r="TQI41" s="226"/>
      <c r="TQJ41" s="227"/>
      <c r="TQK41" s="228"/>
      <c r="TQL41" s="228"/>
      <c r="TQM41" s="228"/>
      <c r="TQN41" s="228"/>
      <c r="TQO41" s="228"/>
      <c r="TQP41" s="228"/>
      <c r="TQQ41" s="226"/>
      <c r="TQR41" s="226"/>
      <c r="TQS41" s="224"/>
      <c r="TQT41" s="225"/>
      <c r="TQU41" s="226"/>
      <c r="TQV41" s="227"/>
      <c r="TQW41" s="228"/>
      <c r="TQX41" s="228"/>
      <c r="TQY41" s="228"/>
      <c r="TQZ41" s="228"/>
      <c r="TRA41" s="228"/>
      <c r="TRB41" s="228"/>
      <c r="TRC41" s="226"/>
      <c r="TRD41" s="226"/>
      <c r="TRE41" s="224"/>
      <c r="TRF41" s="225"/>
      <c r="TRG41" s="226"/>
      <c r="TRH41" s="227"/>
      <c r="TRI41" s="228"/>
      <c r="TRJ41" s="228"/>
      <c r="TRK41" s="228"/>
      <c r="TRL41" s="228"/>
      <c r="TRM41" s="228"/>
      <c r="TRN41" s="228"/>
      <c r="TRO41" s="226"/>
      <c r="TRP41" s="226"/>
      <c r="TRQ41" s="224"/>
      <c r="TRR41" s="225"/>
      <c r="TRS41" s="226"/>
      <c r="TRT41" s="227"/>
      <c r="TRU41" s="228"/>
      <c r="TRV41" s="228"/>
      <c r="TRW41" s="228"/>
      <c r="TRX41" s="228"/>
      <c r="TRY41" s="228"/>
      <c r="TRZ41" s="228"/>
      <c r="TSA41" s="226"/>
      <c r="TSB41" s="226"/>
      <c r="TSC41" s="224"/>
      <c r="TSD41" s="225"/>
      <c r="TSE41" s="226"/>
      <c r="TSF41" s="227"/>
      <c r="TSG41" s="228"/>
      <c r="TSH41" s="228"/>
      <c r="TSI41" s="228"/>
      <c r="TSJ41" s="228"/>
      <c r="TSK41" s="228"/>
      <c r="TSL41" s="228"/>
      <c r="TSM41" s="226"/>
      <c r="TSN41" s="226"/>
      <c r="TSO41" s="224"/>
      <c r="TSP41" s="225"/>
      <c r="TSQ41" s="226"/>
      <c r="TSR41" s="227"/>
      <c r="TSS41" s="228"/>
      <c r="TST41" s="228"/>
      <c r="TSU41" s="228"/>
      <c r="TSV41" s="228"/>
      <c r="TSW41" s="228"/>
      <c r="TSX41" s="228"/>
      <c r="TSY41" s="226"/>
      <c r="TSZ41" s="226"/>
      <c r="TTA41" s="224"/>
      <c r="TTB41" s="225"/>
      <c r="TTC41" s="226"/>
      <c r="TTD41" s="227"/>
      <c r="TTE41" s="228"/>
      <c r="TTF41" s="228"/>
      <c r="TTG41" s="228"/>
      <c r="TTH41" s="228"/>
      <c r="TTI41" s="228"/>
      <c r="TTJ41" s="228"/>
      <c r="TTK41" s="226"/>
      <c r="TTL41" s="226"/>
      <c r="TTM41" s="224"/>
      <c r="TTN41" s="225"/>
      <c r="TTO41" s="226"/>
      <c r="TTP41" s="227"/>
      <c r="TTQ41" s="228"/>
      <c r="TTR41" s="228"/>
      <c r="TTS41" s="228"/>
      <c r="TTT41" s="228"/>
      <c r="TTU41" s="228"/>
      <c r="TTV41" s="228"/>
      <c r="TTW41" s="226"/>
      <c r="TTX41" s="226"/>
      <c r="TTY41" s="224"/>
      <c r="TTZ41" s="225"/>
      <c r="TUA41" s="226"/>
      <c r="TUB41" s="227"/>
      <c r="TUC41" s="228"/>
      <c r="TUD41" s="228"/>
      <c r="TUE41" s="228"/>
      <c r="TUF41" s="228"/>
      <c r="TUG41" s="228"/>
      <c r="TUH41" s="228"/>
      <c r="TUI41" s="226"/>
      <c r="TUJ41" s="226"/>
      <c r="TUK41" s="224"/>
      <c r="TUL41" s="225"/>
      <c r="TUM41" s="226"/>
      <c r="TUN41" s="227"/>
      <c r="TUO41" s="228"/>
      <c r="TUP41" s="228"/>
      <c r="TUQ41" s="228"/>
      <c r="TUR41" s="228"/>
      <c r="TUS41" s="228"/>
      <c r="TUT41" s="228"/>
      <c r="TUU41" s="226"/>
      <c r="TUV41" s="226"/>
      <c r="TUW41" s="224"/>
      <c r="TUX41" s="225"/>
      <c r="TUY41" s="226"/>
      <c r="TUZ41" s="227"/>
      <c r="TVA41" s="228"/>
      <c r="TVB41" s="228"/>
      <c r="TVC41" s="228"/>
      <c r="TVD41" s="228"/>
      <c r="TVE41" s="228"/>
      <c r="TVF41" s="228"/>
      <c r="TVG41" s="226"/>
      <c r="TVH41" s="226"/>
      <c r="TVI41" s="224"/>
      <c r="TVJ41" s="225"/>
      <c r="TVK41" s="226"/>
      <c r="TVL41" s="227"/>
      <c r="TVM41" s="228"/>
      <c r="TVN41" s="228"/>
      <c r="TVO41" s="228"/>
      <c r="TVP41" s="228"/>
      <c r="TVQ41" s="228"/>
      <c r="TVR41" s="228"/>
      <c r="TVS41" s="226"/>
      <c r="TVT41" s="226"/>
      <c r="TVU41" s="224"/>
      <c r="TVV41" s="225"/>
      <c r="TVW41" s="226"/>
      <c r="TVX41" s="227"/>
      <c r="TVY41" s="228"/>
      <c r="TVZ41" s="228"/>
      <c r="TWA41" s="228"/>
      <c r="TWB41" s="228"/>
      <c r="TWC41" s="228"/>
      <c r="TWD41" s="228"/>
      <c r="TWE41" s="226"/>
      <c r="TWF41" s="226"/>
      <c r="TWG41" s="224"/>
      <c r="TWH41" s="225"/>
      <c r="TWI41" s="226"/>
      <c r="TWJ41" s="227"/>
      <c r="TWK41" s="228"/>
      <c r="TWL41" s="228"/>
      <c r="TWM41" s="228"/>
      <c r="TWN41" s="228"/>
      <c r="TWO41" s="228"/>
      <c r="TWP41" s="228"/>
      <c r="TWQ41" s="226"/>
      <c r="TWR41" s="226"/>
      <c r="TWS41" s="224"/>
      <c r="TWT41" s="225"/>
      <c r="TWU41" s="226"/>
      <c r="TWV41" s="227"/>
      <c r="TWW41" s="228"/>
      <c r="TWX41" s="228"/>
      <c r="TWY41" s="228"/>
      <c r="TWZ41" s="228"/>
      <c r="TXA41" s="228"/>
      <c r="TXB41" s="228"/>
      <c r="TXC41" s="226"/>
      <c r="TXD41" s="226"/>
      <c r="TXE41" s="224"/>
      <c r="TXF41" s="225"/>
      <c r="TXG41" s="226"/>
      <c r="TXH41" s="227"/>
      <c r="TXI41" s="228"/>
      <c r="TXJ41" s="228"/>
      <c r="TXK41" s="228"/>
      <c r="TXL41" s="228"/>
      <c r="TXM41" s="228"/>
      <c r="TXN41" s="228"/>
      <c r="TXO41" s="226"/>
      <c r="TXP41" s="226"/>
      <c r="TXQ41" s="224"/>
      <c r="TXR41" s="225"/>
      <c r="TXS41" s="226"/>
      <c r="TXT41" s="227"/>
      <c r="TXU41" s="228"/>
      <c r="TXV41" s="228"/>
      <c r="TXW41" s="228"/>
      <c r="TXX41" s="228"/>
      <c r="TXY41" s="228"/>
      <c r="TXZ41" s="228"/>
      <c r="TYA41" s="226"/>
      <c r="TYB41" s="226"/>
      <c r="TYC41" s="224"/>
      <c r="TYD41" s="225"/>
      <c r="TYE41" s="226"/>
      <c r="TYF41" s="227"/>
      <c r="TYG41" s="228"/>
      <c r="TYH41" s="228"/>
      <c r="TYI41" s="228"/>
      <c r="TYJ41" s="228"/>
      <c r="TYK41" s="228"/>
      <c r="TYL41" s="228"/>
      <c r="TYM41" s="226"/>
      <c r="TYN41" s="226"/>
      <c r="TYO41" s="224"/>
      <c r="TYP41" s="225"/>
      <c r="TYQ41" s="226"/>
      <c r="TYR41" s="227"/>
      <c r="TYS41" s="228"/>
      <c r="TYT41" s="228"/>
      <c r="TYU41" s="228"/>
      <c r="TYV41" s="228"/>
      <c r="TYW41" s="228"/>
      <c r="TYX41" s="228"/>
      <c r="TYY41" s="226"/>
      <c r="TYZ41" s="226"/>
      <c r="TZA41" s="224"/>
      <c r="TZB41" s="225"/>
      <c r="TZC41" s="226"/>
      <c r="TZD41" s="227"/>
      <c r="TZE41" s="228"/>
      <c r="TZF41" s="228"/>
      <c r="TZG41" s="228"/>
      <c r="TZH41" s="228"/>
      <c r="TZI41" s="228"/>
      <c r="TZJ41" s="228"/>
      <c r="TZK41" s="226"/>
      <c r="TZL41" s="226"/>
      <c r="TZM41" s="224"/>
      <c r="TZN41" s="225"/>
      <c r="TZO41" s="226"/>
      <c r="TZP41" s="227"/>
      <c r="TZQ41" s="228"/>
      <c r="TZR41" s="228"/>
      <c r="TZS41" s="228"/>
      <c r="TZT41" s="228"/>
      <c r="TZU41" s="228"/>
      <c r="TZV41" s="228"/>
      <c r="TZW41" s="226"/>
      <c r="TZX41" s="226"/>
      <c r="TZY41" s="224"/>
      <c r="TZZ41" s="225"/>
      <c r="UAA41" s="226"/>
      <c r="UAB41" s="227"/>
      <c r="UAC41" s="228"/>
      <c r="UAD41" s="228"/>
      <c r="UAE41" s="228"/>
      <c r="UAF41" s="228"/>
      <c r="UAG41" s="228"/>
      <c r="UAH41" s="228"/>
      <c r="UAI41" s="226"/>
      <c r="UAJ41" s="226"/>
      <c r="UAK41" s="224"/>
      <c r="UAL41" s="225"/>
      <c r="UAM41" s="226"/>
      <c r="UAN41" s="227"/>
      <c r="UAO41" s="228"/>
      <c r="UAP41" s="228"/>
      <c r="UAQ41" s="228"/>
      <c r="UAR41" s="228"/>
      <c r="UAS41" s="228"/>
      <c r="UAT41" s="228"/>
      <c r="UAU41" s="226"/>
      <c r="UAV41" s="226"/>
      <c r="UAW41" s="224"/>
      <c r="UAX41" s="225"/>
      <c r="UAY41" s="226"/>
      <c r="UAZ41" s="227"/>
      <c r="UBA41" s="228"/>
      <c r="UBB41" s="228"/>
      <c r="UBC41" s="228"/>
      <c r="UBD41" s="228"/>
      <c r="UBE41" s="228"/>
      <c r="UBF41" s="228"/>
      <c r="UBG41" s="226"/>
      <c r="UBH41" s="226"/>
      <c r="UBI41" s="224"/>
      <c r="UBJ41" s="225"/>
      <c r="UBK41" s="226"/>
      <c r="UBL41" s="227"/>
      <c r="UBM41" s="228"/>
      <c r="UBN41" s="228"/>
      <c r="UBO41" s="228"/>
      <c r="UBP41" s="228"/>
      <c r="UBQ41" s="228"/>
      <c r="UBR41" s="228"/>
      <c r="UBS41" s="226"/>
      <c r="UBT41" s="226"/>
      <c r="UBU41" s="224"/>
      <c r="UBV41" s="225"/>
      <c r="UBW41" s="226"/>
      <c r="UBX41" s="227"/>
      <c r="UBY41" s="228"/>
      <c r="UBZ41" s="228"/>
      <c r="UCA41" s="228"/>
      <c r="UCB41" s="228"/>
      <c r="UCC41" s="228"/>
      <c r="UCD41" s="228"/>
      <c r="UCE41" s="226"/>
      <c r="UCF41" s="226"/>
      <c r="UCG41" s="224"/>
      <c r="UCH41" s="225"/>
      <c r="UCI41" s="226"/>
      <c r="UCJ41" s="227"/>
      <c r="UCK41" s="228"/>
      <c r="UCL41" s="228"/>
      <c r="UCM41" s="228"/>
      <c r="UCN41" s="228"/>
      <c r="UCO41" s="228"/>
      <c r="UCP41" s="228"/>
      <c r="UCQ41" s="226"/>
      <c r="UCR41" s="226"/>
      <c r="UCS41" s="224"/>
      <c r="UCT41" s="225"/>
      <c r="UCU41" s="226"/>
      <c r="UCV41" s="227"/>
      <c r="UCW41" s="228"/>
      <c r="UCX41" s="228"/>
      <c r="UCY41" s="228"/>
      <c r="UCZ41" s="228"/>
      <c r="UDA41" s="228"/>
      <c r="UDB41" s="228"/>
      <c r="UDC41" s="226"/>
      <c r="UDD41" s="226"/>
      <c r="UDE41" s="224"/>
      <c r="UDF41" s="225"/>
      <c r="UDG41" s="226"/>
      <c r="UDH41" s="227"/>
      <c r="UDI41" s="228"/>
      <c r="UDJ41" s="228"/>
      <c r="UDK41" s="228"/>
      <c r="UDL41" s="228"/>
      <c r="UDM41" s="228"/>
      <c r="UDN41" s="228"/>
      <c r="UDO41" s="226"/>
      <c r="UDP41" s="226"/>
      <c r="UDQ41" s="224"/>
      <c r="UDR41" s="225"/>
      <c r="UDS41" s="226"/>
      <c r="UDT41" s="227"/>
      <c r="UDU41" s="228"/>
      <c r="UDV41" s="228"/>
      <c r="UDW41" s="228"/>
      <c r="UDX41" s="228"/>
      <c r="UDY41" s="228"/>
      <c r="UDZ41" s="228"/>
      <c r="UEA41" s="226"/>
      <c r="UEB41" s="226"/>
      <c r="UEC41" s="224"/>
      <c r="UED41" s="225"/>
      <c r="UEE41" s="226"/>
      <c r="UEF41" s="227"/>
      <c r="UEG41" s="228"/>
      <c r="UEH41" s="228"/>
      <c r="UEI41" s="228"/>
      <c r="UEJ41" s="228"/>
      <c r="UEK41" s="228"/>
      <c r="UEL41" s="228"/>
      <c r="UEM41" s="226"/>
      <c r="UEN41" s="226"/>
      <c r="UEO41" s="224"/>
      <c r="UEP41" s="225"/>
      <c r="UEQ41" s="226"/>
      <c r="UER41" s="227"/>
      <c r="UES41" s="228"/>
      <c r="UET41" s="228"/>
      <c r="UEU41" s="228"/>
      <c r="UEV41" s="228"/>
      <c r="UEW41" s="228"/>
      <c r="UEX41" s="228"/>
      <c r="UEY41" s="226"/>
      <c r="UEZ41" s="226"/>
      <c r="UFA41" s="224"/>
      <c r="UFB41" s="225"/>
      <c r="UFC41" s="226"/>
      <c r="UFD41" s="227"/>
      <c r="UFE41" s="228"/>
      <c r="UFF41" s="228"/>
      <c r="UFG41" s="228"/>
      <c r="UFH41" s="228"/>
      <c r="UFI41" s="228"/>
      <c r="UFJ41" s="228"/>
      <c r="UFK41" s="226"/>
      <c r="UFL41" s="226"/>
      <c r="UFM41" s="224"/>
      <c r="UFN41" s="225"/>
      <c r="UFO41" s="226"/>
      <c r="UFP41" s="227"/>
      <c r="UFQ41" s="228"/>
      <c r="UFR41" s="228"/>
      <c r="UFS41" s="228"/>
      <c r="UFT41" s="228"/>
      <c r="UFU41" s="228"/>
      <c r="UFV41" s="228"/>
      <c r="UFW41" s="226"/>
      <c r="UFX41" s="226"/>
      <c r="UFY41" s="224"/>
      <c r="UFZ41" s="225"/>
      <c r="UGA41" s="226"/>
      <c r="UGB41" s="227"/>
      <c r="UGC41" s="228"/>
      <c r="UGD41" s="228"/>
      <c r="UGE41" s="228"/>
      <c r="UGF41" s="228"/>
      <c r="UGG41" s="228"/>
      <c r="UGH41" s="228"/>
      <c r="UGI41" s="226"/>
      <c r="UGJ41" s="226"/>
      <c r="UGK41" s="224"/>
      <c r="UGL41" s="225"/>
      <c r="UGM41" s="226"/>
      <c r="UGN41" s="227"/>
      <c r="UGO41" s="228"/>
      <c r="UGP41" s="228"/>
      <c r="UGQ41" s="228"/>
      <c r="UGR41" s="228"/>
      <c r="UGS41" s="228"/>
      <c r="UGT41" s="228"/>
      <c r="UGU41" s="226"/>
      <c r="UGV41" s="226"/>
      <c r="UGW41" s="224"/>
      <c r="UGX41" s="225"/>
      <c r="UGY41" s="226"/>
      <c r="UGZ41" s="227"/>
      <c r="UHA41" s="228"/>
      <c r="UHB41" s="228"/>
      <c r="UHC41" s="228"/>
      <c r="UHD41" s="228"/>
      <c r="UHE41" s="228"/>
      <c r="UHF41" s="228"/>
      <c r="UHG41" s="226"/>
      <c r="UHH41" s="226"/>
      <c r="UHI41" s="224"/>
      <c r="UHJ41" s="225"/>
      <c r="UHK41" s="226"/>
      <c r="UHL41" s="227"/>
      <c r="UHM41" s="228"/>
      <c r="UHN41" s="228"/>
      <c r="UHO41" s="228"/>
      <c r="UHP41" s="228"/>
      <c r="UHQ41" s="228"/>
      <c r="UHR41" s="228"/>
      <c r="UHS41" s="226"/>
      <c r="UHT41" s="226"/>
      <c r="UHU41" s="224"/>
      <c r="UHV41" s="225"/>
      <c r="UHW41" s="226"/>
      <c r="UHX41" s="227"/>
      <c r="UHY41" s="228"/>
      <c r="UHZ41" s="228"/>
      <c r="UIA41" s="228"/>
      <c r="UIB41" s="228"/>
      <c r="UIC41" s="228"/>
      <c r="UID41" s="228"/>
      <c r="UIE41" s="226"/>
      <c r="UIF41" s="226"/>
      <c r="UIG41" s="224"/>
      <c r="UIH41" s="225"/>
      <c r="UII41" s="226"/>
      <c r="UIJ41" s="227"/>
      <c r="UIK41" s="228"/>
      <c r="UIL41" s="228"/>
      <c r="UIM41" s="228"/>
      <c r="UIN41" s="228"/>
      <c r="UIO41" s="228"/>
      <c r="UIP41" s="228"/>
      <c r="UIQ41" s="226"/>
      <c r="UIR41" s="226"/>
      <c r="UIS41" s="224"/>
      <c r="UIT41" s="225"/>
      <c r="UIU41" s="226"/>
      <c r="UIV41" s="227"/>
      <c r="UIW41" s="228"/>
      <c r="UIX41" s="228"/>
      <c r="UIY41" s="228"/>
      <c r="UIZ41" s="228"/>
      <c r="UJA41" s="228"/>
      <c r="UJB41" s="228"/>
      <c r="UJC41" s="226"/>
      <c r="UJD41" s="226"/>
      <c r="UJE41" s="224"/>
      <c r="UJF41" s="225"/>
      <c r="UJG41" s="226"/>
      <c r="UJH41" s="227"/>
      <c r="UJI41" s="228"/>
      <c r="UJJ41" s="228"/>
      <c r="UJK41" s="228"/>
      <c r="UJL41" s="228"/>
      <c r="UJM41" s="228"/>
      <c r="UJN41" s="228"/>
      <c r="UJO41" s="226"/>
      <c r="UJP41" s="226"/>
      <c r="UJQ41" s="224"/>
      <c r="UJR41" s="225"/>
      <c r="UJS41" s="226"/>
      <c r="UJT41" s="227"/>
      <c r="UJU41" s="228"/>
      <c r="UJV41" s="228"/>
      <c r="UJW41" s="228"/>
      <c r="UJX41" s="228"/>
      <c r="UJY41" s="228"/>
      <c r="UJZ41" s="228"/>
      <c r="UKA41" s="226"/>
      <c r="UKB41" s="226"/>
      <c r="UKC41" s="224"/>
      <c r="UKD41" s="225"/>
      <c r="UKE41" s="226"/>
      <c r="UKF41" s="227"/>
      <c r="UKG41" s="228"/>
      <c r="UKH41" s="228"/>
      <c r="UKI41" s="228"/>
      <c r="UKJ41" s="228"/>
      <c r="UKK41" s="228"/>
      <c r="UKL41" s="228"/>
      <c r="UKM41" s="226"/>
      <c r="UKN41" s="226"/>
      <c r="UKO41" s="224"/>
      <c r="UKP41" s="225"/>
      <c r="UKQ41" s="226"/>
      <c r="UKR41" s="227"/>
      <c r="UKS41" s="228"/>
      <c r="UKT41" s="228"/>
      <c r="UKU41" s="228"/>
      <c r="UKV41" s="228"/>
      <c r="UKW41" s="228"/>
      <c r="UKX41" s="228"/>
      <c r="UKY41" s="226"/>
      <c r="UKZ41" s="226"/>
      <c r="ULA41" s="224"/>
      <c r="ULB41" s="225"/>
      <c r="ULC41" s="226"/>
      <c r="ULD41" s="227"/>
      <c r="ULE41" s="228"/>
      <c r="ULF41" s="228"/>
      <c r="ULG41" s="228"/>
      <c r="ULH41" s="228"/>
      <c r="ULI41" s="228"/>
      <c r="ULJ41" s="228"/>
      <c r="ULK41" s="226"/>
      <c r="ULL41" s="226"/>
      <c r="ULM41" s="224"/>
      <c r="ULN41" s="225"/>
      <c r="ULO41" s="226"/>
      <c r="ULP41" s="227"/>
      <c r="ULQ41" s="228"/>
      <c r="ULR41" s="228"/>
      <c r="ULS41" s="228"/>
      <c r="ULT41" s="228"/>
      <c r="ULU41" s="228"/>
      <c r="ULV41" s="228"/>
      <c r="ULW41" s="226"/>
      <c r="ULX41" s="226"/>
      <c r="ULY41" s="224"/>
      <c r="ULZ41" s="225"/>
      <c r="UMA41" s="226"/>
      <c r="UMB41" s="227"/>
      <c r="UMC41" s="228"/>
      <c r="UMD41" s="228"/>
      <c r="UME41" s="228"/>
      <c r="UMF41" s="228"/>
      <c r="UMG41" s="228"/>
      <c r="UMH41" s="228"/>
      <c r="UMI41" s="226"/>
      <c r="UMJ41" s="226"/>
      <c r="UMK41" s="224"/>
      <c r="UML41" s="225"/>
      <c r="UMM41" s="226"/>
      <c r="UMN41" s="227"/>
      <c r="UMO41" s="228"/>
      <c r="UMP41" s="228"/>
      <c r="UMQ41" s="228"/>
      <c r="UMR41" s="228"/>
      <c r="UMS41" s="228"/>
      <c r="UMT41" s="228"/>
      <c r="UMU41" s="226"/>
      <c r="UMV41" s="226"/>
      <c r="UMW41" s="224"/>
      <c r="UMX41" s="225"/>
      <c r="UMY41" s="226"/>
      <c r="UMZ41" s="227"/>
      <c r="UNA41" s="228"/>
      <c r="UNB41" s="228"/>
      <c r="UNC41" s="228"/>
      <c r="UND41" s="228"/>
      <c r="UNE41" s="228"/>
      <c r="UNF41" s="228"/>
      <c r="UNG41" s="226"/>
      <c r="UNH41" s="226"/>
      <c r="UNI41" s="224"/>
      <c r="UNJ41" s="225"/>
      <c r="UNK41" s="226"/>
      <c r="UNL41" s="227"/>
      <c r="UNM41" s="228"/>
      <c r="UNN41" s="228"/>
      <c r="UNO41" s="228"/>
      <c r="UNP41" s="228"/>
      <c r="UNQ41" s="228"/>
      <c r="UNR41" s="228"/>
      <c r="UNS41" s="226"/>
      <c r="UNT41" s="226"/>
      <c r="UNU41" s="224"/>
      <c r="UNV41" s="225"/>
      <c r="UNW41" s="226"/>
      <c r="UNX41" s="227"/>
      <c r="UNY41" s="228"/>
      <c r="UNZ41" s="228"/>
      <c r="UOA41" s="228"/>
      <c r="UOB41" s="228"/>
      <c r="UOC41" s="228"/>
      <c r="UOD41" s="228"/>
      <c r="UOE41" s="226"/>
      <c r="UOF41" s="226"/>
      <c r="UOG41" s="224"/>
      <c r="UOH41" s="225"/>
      <c r="UOI41" s="226"/>
      <c r="UOJ41" s="227"/>
      <c r="UOK41" s="228"/>
      <c r="UOL41" s="228"/>
      <c r="UOM41" s="228"/>
      <c r="UON41" s="228"/>
      <c r="UOO41" s="228"/>
      <c r="UOP41" s="228"/>
      <c r="UOQ41" s="226"/>
      <c r="UOR41" s="226"/>
      <c r="UOS41" s="224"/>
      <c r="UOT41" s="225"/>
      <c r="UOU41" s="226"/>
      <c r="UOV41" s="227"/>
      <c r="UOW41" s="228"/>
      <c r="UOX41" s="228"/>
      <c r="UOY41" s="228"/>
      <c r="UOZ41" s="228"/>
      <c r="UPA41" s="228"/>
      <c r="UPB41" s="228"/>
      <c r="UPC41" s="226"/>
      <c r="UPD41" s="226"/>
      <c r="UPE41" s="224"/>
      <c r="UPF41" s="225"/>
      <c r="UPG41" s="226"/>
      <c r="UPH41" s="227"/>
      <c r="UPI41" s="228"/>
      <c r="UPJ41" s="228"/>
      <c r="UPK41" s="228"/>
      <c r="UPL41" s="228"/>
      <c r="UPM41" s="228"/>
      <c r="UPN41" s="228"/>
      <c r="UPO41" s="226"/>
      <c r="UPP41" s="226"/>
      <c r="UPQ41" s="224"/>
      <c r="UPR41" s="225"/>
      <c r="UPS41" s="226"/>
      <c r="UPT41" s="227"/>
      <c r="UPU41" s="228"/>
      <c r="UPV41" s="228"/>
      <c r="UPW41" s="228"/>
      <c r="UPX41" s="228"/>
      <c r="UPY41" s="228"/>
      <c r="UPZ41" s="228"/>
      <c r="UQA41" s="226"/>
      <c r="UQB41" s="226"/>
      <c r="UQC41" s="224"/>
      <c r="UQD41" s="225"/>
      <c r="UQE41" s="226"/>
      <c r="UQF41" s="227"/>
      <c r="UQG41" s="228"/>
      <c r="UQH41" s="228"/>
      <c r="UQI41" s="228"/>
      <c r="UQJ41" s="228"/>
      <c r="UQK41" s="228"/>
      <c r="UQL41" s="228"/>
      <c r="UQM41" s="226"/>
      <c r="UQN41" s="226"/>
      <c r="UQO41" s="224"/>
      <c r="UQP41" s="225"/>
      <c r="UQQ41" s="226"/>
      <c r="UQR41" s="227"/>
      <c r="UQS41" s="228"/>
      <c r="UQT41" s="228"/>
      <c r="UQU41" s="228"/>
      <c r="UQV41" s="228"/>
      <c r="UQW41" s="228"/>
      <c r="UQX41" s="228"/>
      <c r="UQY41" s="226"/>
      <c r="UQZ41" s="226"/>
      <c r="URA41" s="224"/>
      <c r="URB41" s="225"/>
      <c r="URC41" s="226"/>
      <c r="URD41" s="227"/>
      <c r="URE41" s="228"/>
      <c r="URF41" s="228"/>
      <c r="URG41" s="228"/>
      <c r="URH41" s="228"/>
      <c r="URI41" s="228"/>
      <c r="URJ41" s="228"/>
      <c r="URK41" s="226"/>
      <c r="URL41" s="226"/>
      <c r="URM41" s="224"/>
      <c r="URN41" s="225"/>
      <c r="URO41" s="226"/>
      <c r="URP41" s="227"/>
      <c r="URQ41" s="228"/>
      <c r="URR41" s="228"/>
      <c r="URS41" s="228"/>
      <c r="URT41" s="228"/>
      <c r="URU41" s="228"/>
      <c r="URV41" s="228"/>
      <c r="URW41" s="226"/>
      <c r="URX41" s="226"/>
      <c r="URY41" s="224"/>
      <c r="URZ41" s="225"/>
      <c r="USA41" s="226"/>
      <c r="USB41" s="227"/>
      <c r="USC41" s="228"/>
      <c r="USD41" s="228"/>
      <c r="USE41" s="228"/>
      <c r="USF41" s="228"/>
      <c r="USG41" s="228"/>
      <c r="USH41" s="228"/>
      <c r="USI41" s="226"/>
      <c r="USJ41" s="226"/>
      <c r="USK41" s="224"/>
      <c r="USL41" s="225"/>
      <c r="USM41" s="226"/>
      <c r="USN41" s="227"/>
      <c r="USO41" s="228"/>
      <c r="USP41" s="228"/>
      <c r="USQ41" s="228"/>
      <c r="USR41" s="228"/>
      <c r="USS41" s="228"/>
      <c r="UST41" s="228"/>
      <c r="USU41" s="226"/>
      <c r="USV41" s="226"/>
      <c r="USW41" s="224"/>
      <c r="USX41" s="225"/>
      <c r="USY41" s="226"/>
      <c r="USZ41" s="227"/>
      <c r="UTA41" s="228"/>
      <c r="UTB41" s="228"/>
      <c r="UTC41" s="228"/>
      <c r="UTD41" s="228"/>
      <c r="UTE41" s="228"/>
      <c r="UTF41" s="228"/>
      <c r="UTG41" s="226"/>
      <c r="UTH41" s="226"/>
      <c r="UTI41" s="224"/>
      <c r="UTJ41" s="225"/>
      <c r="UTK41" s="226"/>
      <c r="UTL41" s="227"/>
      <c r="UTM41" s="228"/>
      <c r="UTN41" s="228"/>
      <c r="UTO41" s="228"/>
      <c r="UTP41" s="228"/>
      <c r="UTQ41" s="228"/>
      <c r="UTR41" s="228"/>
      <c r="UTS41" s="226"/>
      <c r="UTT41" s="226"/>
      <c r="UTU41" s="224"/>
      <c r="UTV41" s="225"/>
      <c r="UTW41" s="226"/>
      <c r="UTX41" s="227"/>
      <c r="UTY41" s="228"/>
      <c r="UTZ41" s="228"/>
      <c r="UUA41" s="228"/>
      <c r="UUB41" s="228"/>
      <c r="UUC41" s="228"/>
      <c r="UUD41" s="228"/>
      <c r="UUE41" s="226"/>
      <c r="UUF41" s="226"/>
      <c r="UUG41" s="224"/>
      <c r="UUH41" s="225"/>
      <c r="UUI41" s="226"/>
      <c r="UUJ41" s="227"/>
      <c r="UUK41" s="228"/>
      <c r="UUL41" s="228"/>
      <c r="UUM41" s="228"/>
      <c r="UUN41" s="228"/>
      <c r="UUO41" s="228"/>
      <c r="UUP41" s="228"/>
      <c r="UUQ41" s="226"/>
      <c r="UUR41" s="226"/>
      <c r="UUS41" s="224"/>
      <c r="UUT41" s="225"/>
      <c r="UUU41" s="226"/>
      <c r="UUV41" s="227"/>
      <c r="UUW41" s="228"/>
      <c r="UUX41" s="228"/>
      <c r="UUY41" s="228"/>
      <c r="UUZ41" s="228"/>
      <c r="UVA41" s="228"/>
      <c r="UVB41" s="228"/>
      <c r="UVC41" s="226"/>
      <c r="UVD41" s="226"/>
      <c r="UVE41" s="224"/>
      <c r="UVF41" s="225"/>
      <c r="UVG41" s="226"/>
      <c r="UVH41" s="227"/>
      <c r="UVI41" s="228"/>
      <c r="UVJ41" s="228"/>
      <c r="UVK41" s="228"/>
      <c r="UVL41" s="228"/>
      <c r="UVM41" s="228"/>
      <c r="UVN41" s="228"/>
      <c r="UVO41" s="226"/>
      <c r="UVP41" s="226"/>
      <c r="UVQ41" s="224"/>
      <c r="UVR41" s="225"/>
      <c r="UVS41" s="226"/>
      <c r="UVT41" s="227"/>
      <c r="UVU41" s="228"/>
      <c r="UVV41" s="228"/>
      <c r="UVW41" s="228"/>
      <c r="UVX41" s="228"/>
      <c r="UVY41" s="228"/>
      <c r="UVZ41" s="228"/>
      <c r="UWA41" s="226"/>
      <c r="UWB41" s="226"/>
      <c r="UWC41" s="224"/>
      <c r="UWD41" s="225"/>
      <c r="UWE41" s="226"/>
      <c r="UWF41" s="227"/>
      <c r="UWG41" s="228"/>
      <c r="UWH41" s="228"/>
      <c r="UWI41" s="228"/>
      <c r="UWJ41" s="228"/>
      <c r="UWK41" s="228"/>
      <c r="UWL41" s="228"/>
      <c r="UWM41" s="226"/>
      <c r="UWN41" s="226"/>
      <c r="UWO41" s="224"/>
      <c r="UWP41" s="225"/>
      <c r="UWQ41" s="226"/>
      <c r="UWR41" s="227"/>
      <c r="UWS41" s="228"/>
      <c r="UWT41" s="228"/>
      <c r="UWU41" s="228"/>
      <c r="UWV41" s="228"/>
      <c r="UWW41" s="228"/>
      <c r="UWX41" s="228"/>
      <c r="UWY41" s="226"/>
      <c r="UWZ41" s="226"/>
      <c r="UXA41" s="224"/>
      <c r="UXB41" s="225"/>
      <c r="UXC41" s="226"/>
      <c r="UXD41" s="227"/>
      <c r="UXE41" s="228"/>
      <c r="UXF41" s="228"/>
      <c r="UXG41" s="228"/>
      <c r="UXH41" s="228"/>
      <c r="UXI41" s="228"/>
      <c r="UXJ41" s="228"/>
      <c r="UXK41" s="226"/>
      <c r="UXL41" s="226"/>
      <c r="UXM41" s="224"/>
      <c r="UXN41" s="225"/>
      <c r="UXO41" s="226"/>
      <c r="UXP41" s="227"/>
      <c r="UXQ41" s="228"/>
      <c r="UXR41" s="228"/>
      <c r="UXS41" s="228"/>
      <c r="UXT41" s="228"/>
      <c r="UXU41" s="228"/>
      <c r="UXV41" s="228"/>
      <c r="UXW41" s="226"/>
      <c r="UXX41" s="226"/>
      <c r="UXY41" s="224"/>
      <c r="UXZ41" s="225"/>
      <c r="UYA41" s="226"/>
      <c r="UYB41" s="227"/>
      <c r="UYC41" s="228"/>
      <c r="UYD41" s="228"/>
      <c r="UYE41" s="228"/>
      <c r="UYF41" s="228"/>
      <c r="UYG41" s="228"/>
      <c r="UYH41" s="228"/>
      <c r="UYI41" s="226"/>
      <c r="UYJ41" s="226"/>
      <c r="UYK41" s="224"/>
      <c r="UYL41" s="225"/>
      <c r="UYM41" s="226"/>
      <c r="UYN41" s="227"/>
      <c r="UYO41" s="228"/>
      <c r="UYP41" s="228"/>
      <c r="UYQ41" s="228"/>
      <c r="UYR41" s="228"/>
      <c r="UYS41" s="228"/>
      <c r="UYT41" s="228"/>
      <c r="UYU41" s="226"/>
      <c r="UYV41" s="226"/>
      <c r="UYW41" s="224"/>
      <c r="UYX41" s="225"/>
      <c r="UYY41" s="226"/>
      <c r="UYZ41" s="227"/>
      <c r="UZA41" s="228"/>
      <c r="UZB41" s="228"/>
      <c r="UZC41" s="228"/>
      <c r="UZD41" s="228"/>
      <c r="UZE41" s="228"/>
      <c r="UZF41" s="228"/>
      <c r="UZG41" s="226"/>
      <c r="UZH41" s="226"/>
      <c r="UZI41" s="224"/>
      <c r="UZJ41" s="225"/>
      <c r="UZK41" s="226"/>
      <c r="UZL41" s="227"/>
      <c r="UZM41" s="228"/>
      <c r="UZN41" s="228"/>
      <c r="UZO41" s="228"/>
      <c r="UZP41" s="228"/>
      <c r="UZQ41" s="228"/>
      <c r="UZR41" s="228"/>
      <c r="UZS41" s="226"/>
      <c r="UZT41" s="226"/>
      <c r="UZU41" s="224"/>
      <c r="UZV41" s="225"/>
      <c r="UZW41" s="226"/>
      <c r="UZX41" s="227"/>
      <c r="UZY41" s="228"/>
      <c r="UZZ41" s="228"/>
      <c r="VAA41" s="228"/>
      <c r="VAB41" s="228"/>
      <c r="VAC41" s="228"/>
      <c r="VAD41" s="228"/>
      <c r="VAE41" s="226"/>
      <c r="VAF41" s="226"/>
      <c r="VAG41" s="224"/>
      <c r="VAH41" s="225"/>
      <c r="VAI41" s="226"/>
      <c r="VAJ41" s="227"/>
      <c r="VAK41" s="228"/>
      <c r="VAL41" s="228"/>
      <c r="VAM41" s="228"/>
      <c r="VAN41" s="228"/>
      <c r="VAO41" s="228"/>
      <c r="VAP41" s="228"/>
      <c r="VAQ41" s="226"/>
      <c r="VAR41" s="226"/>
      <c r="VAS41" s="224"/>
      <c r="VAT41" s="225"/>
      <c r="VAU41" s="226"/>
      <c r="VAV41" s="227"/>
      <c r="VAW41" s="228"/>
      <c r="VAX41" s="228"/>
      <c r="VAY41" s="228"/>
      <c r="VAZ41" s="228"/>
      <c r="VBA41" s="228"/>
      <c r="VBB41" s="228"/>
      <c r="VBC41" s="226"/>
      <c r="VBD41" s="226"/>
      <c r="VBE41" s="224"/>
      <c r="VBF41" s="225"/>
      <c r="VBG41" s="226"/>
      <c r="VBH41" s="227"/>
      <c r="VBI41" s="228"/>
      <c r="VBJ41" s="228"/>
      <c r="VBK41" s="228"/>
      <c r="VBL41" s="228"/>
      <c r="VBM41" s="228"/>
      <c r="VBN41" s="228"/>
      <c r="VBO41" s="226"/>
      <c r="VBP41" s="226"/>
      <c r="VBQ41" s="224"/>
      <c r="VBR41" s="225"/>
      <c r="VBS41" s="226"/>
      <c r="VBT41" s="227"/>
      <c r="VBU41" s="228"/>
      <c r="VBV41" s="228"/>
      <c r="VBW41" s="228"/>
      <c r="VBX41" s="228"/>
      <c r="VBY41" s="228"/>
      <c r="VBZ41" s="228"/>
      <c r="VCA41" s="226"/>
      <c r="VCB41" s="226"/>
      <c r="VCC41" s="224"/>
      <c r="VCD41" s="225"/>
      <c r="VCE41" s="226"/>
      <c r="VCF41" s="227"/>
      <c r="VCG41" s="228"/>
      <c r="VCH41" s="228"/>
      <c r="VCI41" s="228"/>
      <c r="VCJ41" s="228"/>
      <c r="VCK41" s="228"/>
      <c r="VCL41" s="228"/>
      <c r="VCM41" s="226"/>
      <c r="VCN41" s="226"/>
      <c r="VCO41" s="224"/>
      <c r="VCP41" s="225"/>
      <c r="VCQ41" s="226"/>
      <c r="VCR41" s="227"/>
      <c r="VCS41" s="228"/>
      <c r="VCT41" s="228"/>
      <c r="VCU41" s="228"/>
      <c r="VCV41" s="228"/>
      <c r="VCW41" s="228"/>
      <c r="VCX41" s="228"/>
      <c r="VCY41" s="226"/>
      <c r="VCZ41" s="226"/>
      <c r="VDA41" s="224"/>
      <c r="VDB41" s="225"/>
      <c r="VDC41" s="226"/>
      <c r="VDD41" s="227"/>
      <c r="VDE41" s="228"/>
      <c r="VDF41" s="228"/>
      <c r="VDG41" s="228"/>
      <c r="VDH41" s="228"/>
      <c r="VDI41" s="228"/>
      <c r="VDJ41" s="228"/>
      <c r="VDK41" s="226"/>
      <c r="VDL41" s="226"/>
      <c r="VDM41" s="224"/>
      <c r="VDN41" s="225"/>
      <c r="VDO41" s="226"/>
      <c r="VDP41" s="227"/>
      <c r="VDQ41" s="228"/>
      <c r="VDR41" s="228"/>
      <c r="VDS41" s="228"/>
      <c r="VDT41" s="228"/>
      <c r="VDU41" s="228"/>
      <c r="VDV41" s="228"/>
      <c r="VDW41" s="226"/>
      <c r="VDX41" s="226"/>
      <c r="VDY41" s="224"/>
      <c r="VDZ41" s="225"/>
      <c r="VEA41" s="226"/>
      <c r="VEB41" s="227"/>
      <c r="VEC41" s="228"/>
      <c r="VED41" s="228"/>
      <c r="VEE41" s="228"/>
      <c r="VEF41" s="228"/>
      <c r="VEG41" s="228"/>
      <c r="VEH41" s="228"/>
      <c r="VEI41" s="226"/>
      <c r="VEJ41" s="226"/>
      <c r="VEK41" s="224"/>
      <c r="VEL41" s="225"/>
      <c r="VEM41" s="226"/>
      <c r="VEN41" s="227"/>
      <c r="VEO41" s="228"/>
      <c r="VEP41" s="228"/>
      <c r="VEQ41" s="228"/>
      <c r="VER41" s="228"/>
      <c r="VES41" s="228"/>
      <c r="VET41" s="228"/>
      <c r="VEU41" s="226"/>
      <c r="VEV41" s="226"/>
      <c r="VEW41" s="224"/>
      <c r="VEX41" s="225"/>
      <c r="VEY41" s="226"/>
      <c r="VEZ41" s="227"/>
      <c r="VFA41" s="228"/>
      <c r="VFB41" s="228"/>
      <c r="VFC41" s="228"/>
      <c r="VFD41" s="228"/>
      <c r="VFE41" s="228"/>
      <c r="VFF41" s="228"/>
      <c r="VFG41" s="226"/>
      <c r="VFH41" s="226"/>
      <c r="VFI41" s="224"/>
      <c r="VFJ41" s="225"/>
      <c r="VFK41" s="226"/>
      <c r="VFL41" s="227"/>
      <c r="VFM41" s="228"/>
      <c r="VFN41" s="228"/>
      <c r="VFO41" s="228"/>
      <c r="VFP41" s="228"/>
      <c r="VFQ41" s="228"/>
      <c r="VFR41" s="228"/>
      <c r="VFS41" s="226"/>
      <c r="VFT41" s="226"/>
      <c r="VFU41" s="224"/>
      <c r="VFV41" s="225"/>
      <c r="VFW41" s="226"/>
      <c r="VFX41" s="227"/>
      <c r="VFY41" s="228"/>
      <c r="VFZ41" s="228"/>
      <c r="VGA41" s="228"/>
      <c r="VGB41" s="228"/>
      <c r="VGC41" s="228"/>
      <c r="VGD41" s="228"/>
      <c r="VGE41" s="226"/>
      <c r="VGF41" s="226"/>
      <c r="VGG41" s="224"/>
      <c r="VGH41" s="225"/>
      <c r="VGI41" s="226"/>
      <c r="VGJ41" s="227"/>
      <c r="VGK41" s="228"/>
      <c r="VGL41" s="228"/>
      <c r="VGM41" s="228"/>
      <c r="VGN41" s="228"/>
      <c r="VGO41" s="228"/>
      <c r="VGP41" s="228"/>
      <c r="VGQ41" s="226"/>
      <c r="VGR41" s="226"/>
      <c r="VGS41" s="224"/>
      <c r="VGT41" s="225"/>
      <c r="VGU41" s="226"/>
      <c r="VGV41" s="227"/>
      <c r="VGW41" s="228"/>
      <c r="VGX41" s="228"/>
      <c r="VGY41" s="228"/>
      <c r="VGZ41" s="228"/>
      <c r="VHA41" s="228"/>
      <c r="VHB41" s="228"/>
      <c r="VHC41" s="226"/>
      <c r="VHD41" s="226"/>
      <c r="VHE41" s="224"/>
      <c r="VHF41" s="225"/>
      <c r="VHG41" s="226"/>
      <c r="VHH41" s="227"/>
      <c r="VHI41" s="228"/>
      <c r="VHJ41" s="228"/>
      <c r="VHK41" s="228"/>
      <c r="VHL41" s="228"/>
      <c r="VHM41" s="228"/>
      <c r="VHN41" s="228"/>
      <c r="VHO41" s="226"/>
      <c r="VHP41" s="226"/>
      <c r="VHQ41" s="224"/>
      <c r="VHR41" s="225"/>
      <c r="VHS41" s="226"/>
      <c r="VHT41" s="227"/>
      <c r="VHU41" s="228"/>
      <c r="VHV41" s="228"/>
      <c r="VHW41" s="228"/>
      <c r="VHX41" s="228"/>
      <c r="VHY41" s="228"/>
      <c r="VHZ41" s="228"/>
      <c r="VIA41" s="226"/>
      <c r="VIB41" s="226"/>
      <c r="VIC41" s="224"/>
      <c r="VID41" s="225"/>
      <c r="VIE41" s="226"/>
      <c r="VIF41" s="227"/>
      <c r="VIG41" s="228"/>
      <c r="VIH41" s="228"/>
      <c r="VII41" s="228"/>
      <c r="VIJ41" s="228"/>
      <c r="VIK41" s="228"/>
      <c r="VIL41" s="228"/>
      <c r="VIM41" s="226"/>
      <c r="VIN41" s="226"/>
      <c r="VIO41" s="224"/>
      <c r="VIP41" s="225"/>
      <c r="VIQ41" s="226"/>
      <c r="VIR41" s="227"/>
      <c r="VIS41" s="228"/>
      <c r="VIT41" s="228"/>
      <c r="VIU41" s="228"/>
      <c r="VIV41" s="228"/>
      <c r="VIW41" s="228"/>
      <c r="VIX41" s="228"/>
      <c r="VIY41" s="226"/>
      <c r="VIZ41" s="226"/>
      <c r="VJA41" s="224"/>
      <c r="VJB41" s="225"/>
      <c r="VJC41" s="226"/>
      <c r="VJD41" s="227"/>
      <c r="VJE41" s="228"/>
      <c r="VJF41" s="228"/>
      <c r="VJG41" s="228"/>
      <c r="VJH41" s="228"/>
      <c r="VJI41" s="228"/>
      <c r="VJJ41" s="228"/>
      <c r="VJK41" s="226"/>
      <c r="VJL41" s="226"/>
      <c r="VJM41" s="224"/>
      <c r="VJN41" s="225"/>
      <c r="VJO41" s="226"/>
      <c r="VJP41" s="227"/>
      <c r="VJQ41" s="228"/>
      <c r="VJR41" s="228"/>
      <c r="VJS41" s="228"/>
      <c r="VJT41" s="228"/>
      <c r="VJU41" s="228"/>
      <c r="VJV41" s="228"/>
      <c r="VJW41" s="226"/>
      <c r="VJX41" s="226"/>
      <c r="VJY41" s="224"/>
      <c r="VJZ41" s="225"/>
      <c r="VKA41" s="226"/>
      <c r="VKB41" s="227"/>
      <c r="VKC41" s="228"/>
      <c r="VKD41" s="228"/>
      <c r="VKE41" s="228"/>
      <c r="VKF41" s="228"/>
      <c r="VKG41" s="228"/>
      <c r="VKH41" s="228"/>
      <c r="VKI41" s="226"/>
      <c r="VKJ41" s="226"/>
      <c r="VKK41" s="224"/>
      <c r="VKL41" s="225"/>
      <c r="VKM41" s="226"/>
      <c r="VKN41" s="227"/>
      <c r="VKO41" s="228"/>
      <c r="VKP41" s="228"/>
      <c r="VKQ41" s="228"/>
      <c r="VKR41" s="228"/>
      <c r="VKS41" s="228"/>
      <c r="VKT41" s="228"/>
      <c r="VKU41" s="226"/>
      <c r="VKV41" s="226"/>
      <c r="VKW41" s="224"/>
      <c r="VKX41" s="225"/>
      <c r="VKY41" s="226"/>
      <c r="VKZ41" s="227"/>
      <c r="VLA41" s="228"/>
      <c r="VLB41" s="228"/>
      <c r="VLC41" s="228"/>
      <c r="VLD41" s="228"/>
      <c r="VLE41" s="228"/>
      <c r="VLF41" s="228"/>
      <c r="VLG41" s="226"/>
      <c r="VLH41" s="226"/>
      <c r="VLI41" s="224"/>
      <c r="VLJ41" s="225"/>
      <c r="VLK41" s="226"/>
      <c r="VLL41" s="227"/>
      <c r="VLM41" s="228"/>
      <c r="VLN41" s="228"/>
      <c r="VLO41" s="228"/>
      <c r="VLP41" s="228"/>
      <c r="VLQ41" s="228"/>
      <c r="VLR41" s="228"/>
      <c r="VLS41" s="226"/>
      <c r="VLT41" s="226"/>
      <c r="VLU41" s="224"/>
      <c r="VLV41" s="225"/>
      <c r="VLW41" s="226"/>
      <c r="VLX41" s="227"/>
      <c r="VLY41" s="228"/>
      <c r="VLZ41" s="228"/>
      <c r="VMA41" s="228"/>
      <c r="VMB41" s="228"/>
      <c r="VMC41" s="228"/>
      <c r="VMD41" s="228"/>
      <c r="VME41" s="226"/>
      <c r="VMF41" s="226"/>
      <c r="VMG41" s="224"/>
      <c r="VMH41" s="225"/>
      <c r="VMI41" s="226"/>
      <c r="VMJ41" s="227"/>
      <c r="VMK41" s="228"/>
      <c r="VML41" s="228"/>
      <c r="VMM41" s="228"/>
      <c r="VMN41" s="228"/>
      <c r="VMO41" s="228"/>
      <c r="VMP41" s="228"/>
      <c r="VMQ41" s="226"/>
      <c r="VMR41" s="226"/>
      <c r="VMS41" s="224"/>
      <c r="VMT41" s="225"/>
      <c r="VMU41" s="226"/>
      <c r="VMV41" s="227"/>
      <c r="VMW41" s="228"/>
      <c r="VMX41" s="228"/>
      <c r="VMY41" s="228"/>
      <c r="VMZ41" s="228"/>
      <c r="VNA41" s="228"/>
      <c r="VNB41" s="228"/>
      <c r="VNC41" s="226"/>
      <c r="VND41" s="226"/>
      <c r="VNE41" s="224"/>
      <c r="VNF41" s="225"/>
      <c r="VNG41" s="226"/>
      <c r="VNH41" s="227"/>
      <c r="VNI41" s="228"/>
      <c r="VNJ41" s="228"/>
      <c r="VNK41" s="228"/>
      <c r="VNL41" s="228"/>
      <c r="VNM41" s="228"/>
      <c r="VNN41" s="228"/>
      <c r="VNO41" s="226"/>
      <c r="VNP41" s="226"/>
      <c r="VNQ41" s="224"/>
      <c r="VNR41" s="225"/>
      <c r="VNS41" s="226"/>
      <c r="VNT41" s="227"/>
      <c r="VNU41" s="228"/>
      <c r="VNV41" s="228"/>
      <c r="VNW41" s="228"/>
      <c r="VNX41" s="228"/>
      <c r="VNY41" s="228"/>
      <c r="VNZ41" s="228"/>
      <c r="VOA41" s="226"/>
      <c r="VOB41" s="226"/>
      <c r="VOC41" s="224"/>
      <c r="VOD41" s="225"/>
      <c r="VOE41" s="226"/>
      <c r="VOF41" s="227"/>
      <c r="VOG41" s="228"/>
      <c r="VOH41" s="228"/>
      <c r="VOI41" s="228"/>
      <c r="VOJ41" s="228"/>
      <c r="VOK41" s="228"/>
      <c r="VOL41" s="228"/>
      <c r="VOM41" s="226"/>
      <c r="VON41" s="226"/>
      <c r="VOO41" s="224"/>
      <c r="VOP41" s="225"/>
      <c r="VOQ41" s="226"/>
      <c r="VOR41" s="227"/>
      <c r="VOS41" s="228"/>
      <c r="VOT41" s="228"/>
      <c r="VOU41" s="228"/>
      <c r="VOV41" s="228"/>
      <c r="VOW41" s="228"/>
      <c r="VOX41" s="228"/>
      <c r="VOY41" s="226"/>
      <c r="VOZ41" s="226"/>
      <c r="VPA41" s="224"/>
      <c r="VPB41" s="225"/>
      <c r="VPC41" s="226"/>
      <c r="VPD41" s="227"/>
      <c r="VPE41" s="228"/>
      <c r="VPF41" s="228"/>
      <c r="VPG41" s="228"/>
      <c r="VPH41" s="228"/>
      <c r="VPI41" s="228"/>
      <c r="VPJ41" s="228"/>
      <c r="VPK41" s="226"/>
      <c r="VPL41" s="226"/>
      <c r="VPM41" s="224"/>
      <c r="VPN41" s="225"/>
      <c r="VPO41" s="226"/>
      <c r="VPP41" s="227"/>
      <c r="VPQ41" s="228"/>
      <c r="VPR41" s="228"/>
      <c r="VPS41" s="228"/>
      <c r="VPT41" s="228"/>
      <c r="VPU41" s="228"/>
      <c r="VPV41" s="228"/>
      <c r="VPW41" s="226"/>
      <c r="VPX41" s="226"/>
      <c r="VPY41" s="224"/>
      <c r="VPZ41" s="225"/>
      <c r="VQA41" s="226"/>
      <c r="VQB41" s="227"/>
      <c r="VQC41" s="228"/>
      <c r="VQD41" s="228"/>
      <c r="VQE41" s="228"/>
      <c r="VQF41" s="228"/>
      <c r="VQG41" s="228"/>
      <c r="VQH41" s="228"/>
      <c r="VQI41" s="226"/>
      <c r="VQJ41" s="226"/>
      <c r="VQK41" s="224"/>
      <c r="VQL41" s="225"/>
      <c r="VQM41" s="226"/>
      <c r="VQN41" s="227"/>
      <c r="VQO41" s="228"/>
      <c r="VQP41" s="228"/>
      <c r="VQQ41" s="228"/>
      <c r="VQR41" s="228"/>
      <c r="VQS41" s="228"/>
      <c r="VQT41" s="228"/>
      <c r="VQU41" s="226"/>
      <c r="VQV41" s="226"/>
      <c r="VQW41" s="224"/>
      <c r="VQX41" s="225"/>
      <c r="VQY41" s="226"/>
      <c r="VQZ41" s="227"/>
      <c r="VRA41" s="228"/>
      <c r="VRB41" s="228"/>
      <c r="VRC41" s="228"/>
      <c r="VRD41" s="228"/>
      <c r="VRE41" s="228"/>
      <c r="VRF41" s="228"/>
      <c r="VRG41" s="226"/>
      <c r="VRH41" s="226"/>
      <c r="VRI41" s="224"/>
      <c r="VRJ41" s="225"/>
      <c r="VRK41" s="226"/>
      <c r="VRL41" s="227"/>
      <c r="VRM41" s="228"/>
      <c r="VRN41" s="228"/>
      <c r="VRO41" s="228"/>
      <c r="VRP41" s="228"/>
      <c r="VRQ41" s="228"/>
      <c r="VRR41" s="228"/>
      <c r="VRS41" s="226"/>
      <c r="VRT41" s="226"/>
      <c r="VRU41" s="224"/>
      <c r="VRV41" s="225"/>
      <c r="VRW41" s="226"/>
      <c r="VRX41" s="227"/>
      <c r="VRY41" s="228"/>
      <c r="VRZ41" s="228"/>
      <c r="VSA41" s="228"/>
      <c r="VSB41" s="228"/>
      <c r="VSC41" s="228"/>
      <c r="VSD41" s="228"/>
      <c r="VSE41" s="226"/>
      <c r="VSF41" s="226"/>
      <c r="VSG41" s="224"/>
      <c r="VSH41" s="225"/>
      <c r="VSI41" s="226"/>
      <c r="VSJ41" s="227"/>
      <c r="VSK41" s="228"/>
      <c r="VSL41" s="228"/>
      <c r="VSM41" s="228"/>
      <c r="VSN41" s="228"/>
      <c r="VSO41" s="228"/>
      <c r="VSP41" s="228"/>
      <c r="VSQ41" s="226"/>
      <c r="VSR41" s="226"/>
      <c r="VSS41" s="224"/>
      <c r="VST41" s="225"/>
      <c r="VSU41" s="226"/>
      <c r="VSV41" s="227"/>
      <c r="VSW41" s="228"/>
      <c r="VSX41" s="228"/>
      <c r="VSY41" s="228"/>
      <c r="VSZ41" s="228"/>
      <c r="VTA41" s="228"/>
      <c r="VTB41" s="228"/>
      <c r="VTC41" s="226"/>
      <c r="VTD41" s="226"/>
      <c r="VTE41" s="224"/>
      <c r="VTF41" s="225"/>
      <c r="VTG41" s="226"/>
      <c r="VTH41" s="227"/>
      <c r="VTI41" s="228"/>
      <c r="VTJ41" s="228"/>
      <c r="VTK41" s="228"/>
      <c r="VTL41" s="228"/>
      <c r="VTM41" s="228"/>
      <c r="VTN41" s="228"/>
      <c r="VTO41" s="226"/>
      <c r="VTP41" s="226"/>
      <c r="VTQ41" s="224"/>
      <c r="VTR41" s="225"/>
      <c r="VTS41" s="226"/>
      <c r="VTT41" s="227"/>
      <c r="VTU41" s="228"/>
      <c r="VTV41" s="228"/>
      <c r="VTW41" s="228"/>
      <c r="VTX41" s="228"/>
      <c r="VTY41" s="228"/>
      <c r="VTZ41" s="228"/>
      <c r="VUA41" s="226"/>
      <c r="VUB41" s="226"/>
      <c r="VUC41" s="224"/>
      <c r="VUD41" s="225"/>
      <c r="VUE41" s="226"/>
      <c r="VUF41" s="227"/>
      <c r="VUG41" s="228"/>
      <c r="VUH41" s="228"/>
      <c r="VUI41" s="228"/>
      <c r="VUJ41" s="228"/>
      <c r="VUK41" s="228"/>
      <c r="VUL41" s="228"/>
      <c r="VUM41" s="226"/>
      <c r="VUN41" s="226"/>
      <c r="VUO41" s="224"/>
      <c r="VUP41" s="225"/>
      <c r="VUQ41" s="226"/>
      <c r="VUR41" s="227"/>
      <c r="VUS41" s="228"/>
      <c r="VUT41" s="228"/>
      <c r="VUU41" s="228"/>
      <c r="VUV41" s="228"/>
      <c r="VUW41" s="228"/>
      <c r="VUX41" s="228"/>
      <c r="VUY41" s="226"/>
      <c r="VUZ41" s="226"/>
      <c r="VVA41" s="224"/>
      <c r="VVB41" s="225"/>
      <c r="VVC41" s="226"/>
      <c r="VVD41" s="227"/>
      <c r="VVE41" s="228"/>
      <c r="VVF41" s="228"/>
      <c r="VVG41" s="228"/>
      <c r="VVH41" s="228"/>
      <c r="VVI41" s="228"/>
      <c r="VVJ41" s="228"/>
      <c r="VVK41" s="226"/>
      <c r="VVL41" s="226"/>
      <c r="VVM41" s="224"/>
      <c r="VVN41" s="225"/>
      <c r="VVO41" s="226"/>
      <c r="VVP41" s="227"/>
      <c r="VVQ41" s="228"/>
      <c r="VVR41" s="228"/>
      <c r="VVS41" s="228"/>
      <c r="VVT41" s="228"/>
      <c r="VVU41" s="228"/>
      <c r="VVV41" s="228"/>
      <c r="VVW41" s="226"/>
      <c r="VVX41" s="226"/>
      <c r="VVY41" s="224"/>
      <c r="VVZ41" s="225"/>
      <c r="VWA41" s="226"/>
      <c r="VWB41" s="227"/>
      <c r="VWC41" s="228"/>
      <c r="VWD41" s="228"/>
      <c r="VWE41" s="228"/>
      <c r="VWF41" s="228"/>
      <c r="VWG41" s="228"/>
      <c r="VWH41" s="228"/>
      <c r="VWI41" s="226"/>
      <c r="VWJ41" s="226"/>
      <c r="VWK41" s="224"/>
      <c r="VWL41" s="225"/>
      <c r="VWM41" s="226"/>
      <c r="VWN41" s="227"/>
      <c r="VWO41" s="228"/>
      <c r="VWP41" s="228"/>
      <c r="VWQ41" s="228"/>
      <c r="VWR41" s="228"/>
      <c r="VWS41" s="228"/>
      <c r="VWT41" s="228"/>
      <c r="VWU41" s="226"/>
      <c r="VWV41" s="226"/>
      <c r="VWW41" s="224"/>
      <c r="VWX41" s="225"/>
      <c r="VWY41" s="226"/>
      <c r="VWZ41" s="227"/>
      <c r="VXA41" s="228"/>
      <c r="VXB41" s="228"/>
      <c r="VXC41" s="228"/>
      <c r="VXD41" s="228"/>
      <c r="VXE41" s="228"/>
      <c r="VXF41" s="228"/>
      <c r="VXG41" s="226"/>
      <c r="VXH41" s="226"/>
      <c r="VXI41" s="224"/>
      <c r="VXJ41" s="225"/>
      <c r="VXK41" s="226"/>
      <c r="VXL41" s="227"/>
      <c r="VXM41" s="228"/>
      <c r="VXN41" s="228"/>
      <c r="VXO41" s="228"/>
      <c r="VXP41" s="228"/>
      <c r="VXQ41" s="228"/>
      <c r="VXR41" s="228"/>
      <c r="VXS41" s="226"/>
      <c r="VXT41" s="226"/>
      <c r="VXU41" s="224"/>
      <c r="VXV41" s="225"/>
      <c r="VXW41" s="226"/>
      <c r="VXX41" s="227"/>
      <c r="VXY41" s="228"/>
      <c r="VXZ41" s="228"/>
      <c r="VYA41" s="228"/>
      <c r="VYB41" s="228"/>
      <c r="VYC41" s="228"/>
      <c r="VYD41" s="228"/>
      <c r="VYE41" s="226"/>
      <c r="VYF41" s="226"/>
      <c r="VYG41" s="224"/>
      <c r="VYH41" s="225"/>
      <c r="VYI41" s="226"/>
      <c r="VYJ41" s="227"/>
      <c r="VYK41" s="228"/>
      <c r="VYL41" s="228"/>
      <c r="VYM41" s="228"/>
      <c r="VYN41" s="228"/>
      <c r="VYO41" s="228"/>
      <c r="VYP41" s="228"/>
      <c r="VYQ41" s="226"/>
      <c r="VYR41" s="226"/>
      <c r="VYS41" s="224"/>
      <c r="VYT41" s="225"/>
      <c r="VYU41" s="226"/>
      <c r="VYV41" s="227"/>
      <c r="VYW41" s="228"/>
      <c r="VYX41" s="228"/>
      <c r="VYY41" s="228"/>
      <c r="VYZ41" s="228"/>
      <c r="VZA41" s="228"/>
      <c r="VZB41" s="228"/>
      <c r="VZC41" s="226"/>
      <c r="VZD41" s="226"/>
      <c r="VZE41" s="224"/>
      <c r="VZF41" s="225"/>
      <c r="VZG41" s="226"/>
      <c r="VZH41" s="227"/>
      <c r="VZI41" s="228"/>
      <c r="VZJ41" s="228"/>
      <c r="VZK41" s="228"/>
      <c r="VZL41" s="228"/>
      <c r="VZM41" s="228"/>
      <c r="VZN41" s="228"/>
      <c r="VZO41" s="226"/>
      <c r="VZP41" s="226"/>
      <c r="VZQ41" s="224"/>
      <c r="VZR41" s="225"/>
      <c r="VZS41" s="226"/>
      <c r="VZT41" s="227"/>
      <c r="VZU41" s="228"/>
      <c r="VZV41" s="228"/>
      <c r="VZW41" s="228"/>
      <c r="VZX41" s="228"/>
      <c r="VZY41" s="228"/>
      <c r="VZZ41" s="228"/>
      <c r="WAA41" s="226"/>
      <c r="WAB41" s="226"/>
      <c r="WAC41" s="224"/>
      <c r="WAD41" s="225"/>
      <c r="WAE41" s="226"/>
      <c r="WAF41" s="227"/>
      <c r="WAG41" s="228"/>
      <c r="WAH41" s="228"/>
      <c r="WAI41" s="228"/>
      <c r="WAJ41" s="228"/>
      <c r="WAK41" s="228"/>
      <c r="WAL41" s="228"/>
      <c r="WAM41" s="226"/>
      <c r="WAN41" s="226"/>
      <c r="WAO41" s="224"/>
      <c r="WAP41" s="225"/>
      <c r="WAQ41" s="226"/>
      <c r="WAR41" s="227"/>
      <c r="WAS41" s="228"/>
      <c r="WAT41" s="228"/>
      <c r="WAU41" s="228"/>
      <c r="WAV41" s="228"/>
      <c r="WAW41" s="228"/>
      <c r="WAX41" s="228"/>
      <c r="WAY41" s="226"/>
      <c r="WAZ41" s="226"/>
      <c r="WBA41" s="224"/>
      <c r="WBB41" s="225"/>
      <c r="WBC41" s="226"/>
      <c r="WBD41" s="227"/>
      <c r="WBE41" s="228"/>
      <c r="WBF41" s="228"/>
      <c r="WBG41" s="228"/>
      <c r="WBH41" s="228"/>
      <c r="WBI41" s="228"/>
      <c r="WBJ41" s="228"/>
      <c r="WBK41" s="226"/>
      <c r="WBL41" s="226"/>
      <c r="WBM41" s="224"/>
      <c r="WBN41" s="225"/>
      <c r="WBO41" s="226"/>
      <c r="WBP41" s="227"/>
      <c r="WBQ41" s="228"/>
      <c r="WBR41" s="228"/>
      <c r="WBS41" s="228"/>
      <c r="WBT41" s="228"/>
      <c r="WBU41" s="228"/>
      <c r="WBV41" s="228"/>
      <c r="WBW41" s="226"/>
      <c r="WBX41" s="226"/>
      <c r="WBY41" s="224"/>
      <c r="WBZ41" s="225"/>
      <c r="WCA41" s="226"/>
      <c r="WCB41" s="227"/>
      <c r="WCC41" s="228"/>
      <c r="WCD41" s="228"/>
      <c r="WCE41" s="228"/>
      <c r="WCF41" s="228"/>
      <c r="WCG41" s="228"/>
      <c r="WCH41" s="228"/>
      <c r="WCI41" s="226"/>
      <c r="WCJ41" s="226"/>
      <c r="WCK41" s="224"/>
      <c r="WCL41" s="225"/>
      <c r="WCM41" s="226"/>
      <c r="WCN41" s="227"/>
      <c r="WCO41" s="228"/>
      <c r="WCP41" s="228"/>
      <c r="WCQ41" s="228"/>
      <c r="WCR41" s="228"/>
      <c r="WCS41" s="228"/>
      <c r="WCT41" s="228"/>
      <c r="WCU41" s="226"/>
      <c r="WCV41" s="226"/>
      <c r="WCW41" s="224"/>
      <c r="WCX41" s="225"/>
      <c r="WCY41" s="226"/>
      <c r="WCZ41" s="227"/>
      <c r="WDA41" s="228"/>
      <c r="WDB41" s="228"/>
      <c r="WDC41" s="228"/>
      <c r="WDD41" s="228"/>
      <c r="WDE41" s="228"/>
      <c r="WDF41" s="228"/>
      <c r="WDG41" s="226"/>
      <c r="WDH41" s="226"/>
      <c r="WDI41" s="224"/>
      <c r="WDJ41" s="225"/>
      <c r="WDK41" s="226"/>
      <c r="WDL41" s="227"/>
      <c r="WDM41" s="228"/>
      <c r="WDN41" s="228"/>
      <c r="WDO41" s="228"/>
      <c r="WDP41" s="228"/>
      <c r="WDQ41" s="228"/>
      <c r="WDR41" s="228"/>
      <c r="WDS41" s="226"/>
      <c r="WDT41" s="226"/>
      <c r="WDU41" s="224"/>
      <c r="WDV41" s="225"/>
      <c r="WDW41" s="226"/>
      <c r="WDX41" s="227"/>
      <c r="WDY41" s="228"/>
      <c r="WDZ41" s="228"/>
      <c r="WEA41" s="228"/>
      <c r="WEB41" s="228"/>
      <c r="WEC41" s="228"/>
      <c r="WED41" s="228"/>
      <c r="WEE41" s="226"/>
      <c r="WEF41" s="226"/>
      <c r="WEG41" s="224"/>
      <c r="WEH41" s="225"/>
      <c r="WEI41" s="226"/>
      <c r="WEJ41" s="227"/>
      <c r="WEK41" s="228"/>
      <c r="WEL41" s="228"/>
      <c r="WEM41" s="228"/>
      <c r="WEN41" s="228"/>
      <c r="WEO41" s="228"/>
      <c r="WEP41" s="228"/>
      <c r="WEQ41" s="226"/>
      <c r="WER41" s="226"/>
      <c r="WES41" s="224"/>
      <c r="WET41" s="225"/>
      <c r="WEU41" s="226"/>
      <c r="WEV41" s="227"/>
      <c r="WEW41" s="228"/>
      <c r="WEX41" s="228"/>
      <c r="WEY41" s="228"/>
      <c r="WEZ41" s="228"/>
      <c r="WFA41" s="228"/>
      <c r="WFB41" s="228"/>
      <c r="WFC41" s="226"/>
      <c r="WFD41" s="226"/>
      <c r="WFE41" s="224"/>
      <c r="WFF41" s="225"/>
      <c r="WFG41" s="226"/>
      <c r="WFH41" s="227"/>
      <c r="WFI41" s="228"/>
      <c r="WFJ41" s="228"/>
      <c r="WFK41" s="228"/>
      <c r="WFL41" s="228"/>
      <c r="WFM41" s="228"/>
      <c r="WFN41" s="228"/>
      <c r="WFO41" s="226"/>
      <c r="WFP41" s="226"/>
      <c r="WFQ41" s="224"/>
      <c r="WFR41" s="225"/>
      <c r="WFS41" s="226"/>
      <c r="WFT41" s="227"/>
      <c r="WFU41" s="228"/>
      <c r="WFV41" s="228"/>
      <c r="WFW41" s="228"/>
      <c r="WFX41" s="228"/>
      <c r="WFY41" s="228"/>
      <c r="WFZ41" s="228"/>
      <c r="WGA41" s="226"/>
      <c r="WGB41" s="226"/>
      <c r="WGC41" s="224"/>
      <c r="WGD41" s="225"/>
      <c r="WGE41" s="226"/>
      <c r="WGF41" s="227"/>
      <c r="WGG41" s="228"/>
      <c r="WGH41" s="228"/>
      <c r="WGI41" s="228"/>
      <c r="WGJ41" s="228"/>
      <c r="WGK41" s="228"/>
      <c r="WGL41" s="228"/>
      <c r="WGM41" s="226"/>
      <c r="WGN41" s="226"/>
      <c r="WGO41" s="224"/>
      <c r="WGP41" s="225"/>
      <c r="WGQ41" s="226"/>
      <c r="WGR41" s="227"/>
      <c r="WGS41" s="228"/>
      <c r="WGT41" s="228"/>
      <c r="WGU41" s="228"/>
      <c r="WGV41" s="228"/>
      <c r="WGW41" s="228"/>
      <c r="WGX41" s="228"/>
      <c r="WGY41" s="226"/>
      <c r="WGZ41" s="226"/>
      <c r="WHA41" s="224"/>
      <c r="WHB41" s="225"/>
      <c r="WHC41" s="226"/>
      <c r="WHD41" s="227"/>
      <c r="WHE41" s="228"/>
      <c r="WHF41" s="228"/>
      <c r="WHG41" s="228"/>
      <c r="WHH41" s="228"/>
      <c r="WHI41" s="228"/>
      <c r="WHJ41" s="228"/>
      <c r="WHK41" s="226"/>
      <c r="WHL41" s="226"/>
      <c r="WHM41" s="224"/>
      <c r="WHN41" s="225"/>
      <c r="WHO41" s="226"/>
      <c r="WHP41" s="227"/>
      <c r="WHQ41" s="228"/>
      <c r="WHR41" s="228"/>
      <c r="WHS41" s="228"/>
      <c r="WHT41" s="228"/>
      <c r="WHU41" s="228"/>
      <c r="WHV41" s="228"/>
      <c r="WHW41" s="226"/>
      <c r="WHX41" s="226"/>
      <c r="WHY41" s="224"/>
      <c r="WHZ41" s="225"/>
      <c r="WIA41" s="226"/>
      <c r="WIB41" s="227"/>
      <c r="WIC41" s="228"/>
      <c r="WID41" s="228"/>
      <c r="WIE41" s="228"/>
      <c r="WIF41" s="228"/>
      <c r="WIG41" s="228"/>
      <c r="WIH41" s="228"/>
      <c r="WII41" s="226"/>
      <c r="WIJ41" s="226"/>
      <c r="WIK41" s="224"/>
      <c r="WIL41" s="225"/>
      <c r="WIM41" s="226"/>
      <c r="WIN41" s="227"/>
      <c r="WIO41" s="228"/>
      <c r="WIP41" s="228"/>
      <c r="WIQ41" s="228"/>
      <c r="WIR41" s="228"/>
      <c r="WIS41" s="228"/>
      <c r="WIT41" s="228"/>
      <c r="WIU41" s="226"/>
      <c r="WIV41" s="226"/>
      <c r="WIW41" s="224"/>
      <c r="WIX41" s="225"/>
      <c r="WIY41" s="226"/>
      <c r="WIZ41" s="227"/>
      <c r="WJA41" s="228"/>
      <c r="WJB41" s="228"/>
      <c r="WJC41" s="228"/>
      <c r="WJD41" s="228"/>
      <c r="WJE41" s="228"/>
      <c r="WJF41" s="228"/>
      <c r="WJG41" s="226"/>
      <c r="WJH41" s="226"/>
      <c r="WJI41" s="224"/>
      <c r="WJJ41" s="225"/>
      <c r="WJK41" s="226"/>
      <c r="WJL41" s="227"/>
      <c r="WJM41" s="228"/>
      <c r="WJN41" s="228"/>
      <c r="WJO41" s="228"/>
      <c r="WJP41" s="228"/>
      <c r="WJQ41" s="228"/>
      <c r="WJR41" s="228"/>
      <c r="WJS41" s="226"/>
      <c r="WJT41" s="226"/>
      <c r="WJU41" s="224"/>
      <c r="WJV41" s="225"/>
      <c r="WJW41" s="226"/>
      <c r="WJX41" s="227"/>
      <c r="WJY41" s="228"/>
      <c r="WJZ41" s="228"/>
      <c r="WKA41" s="228"/>
      <c r="WKB41" s="228"/>
      <c r="WKC41" s="228"/>
      <c r="WKD41" s="228"/>
      <c r="WKE41" s="226"/>
      <c r="WKF41" s="226"/>
      <c r="WKG41" s="224"/>
      <c r="WKH41" s="225"/>
      <c r="WKI41" s="226"/>
      <c r="WKJ41" s="227"/>
      <c r="WKK41" s="228"/>
      <c r="WKL41" s="228"/>
      <c r="WKM41" s="228"/>
      <c r="WKN41" s="228"/>
      <c r="WKO41" s="228"/>
      <c r="WKP41" s="228"/>
      <c r="WKQ41" s="226"/>
      <c r="WKR41" s="226"/>
      <c r="WKS41" s="224"/>
      <c r="WKT41" s="225"/>
      <c r="WKU41" s="226"/>
      <c r="WKV41" s="227"/>
      <c r="WKW41" s="228"/>
      <c r="WKX41" s="228"/>
      <c r="WKY41" s="228"/>
      <c r="WKZ41" s="228"/>
      <c r="WLA41" s="228"/>
      <c r="WLB41" s="228"/>
      <c r="WLC41" s="226"/>
      <c r="WLD41" s="226"/>
      <c r="WLE41" s="224"/>
      <c r="WLF41" s="225"/>
      <c r="WLG41" s="226"/>
      <c r="WLH41" s="227"/>
      <c r="WLI41" s="228"/>
      <c r="WLJ41" s="228"/>
      <c r="WLK41" s="228"/>
      <c r="WLL41" s="228"/>
      <c r="WLM41" s="228"/>
      <c r="WLN41" s="228"/>
      <c r="WLO41" s="226"/>
      <c r="WLP41" s="226"/>
      <c r="WLQ41" s="224"/>
      <c r="WLR41" s="225"/>
      <c r="WLS41" s="226"/>
      <c r="WLT41" s="227"/>
      <c r="WLU41" s="228"/>
      <c r="WLV41" s="228"/>
      <c r="WLW41" s="228"/>
      <c r="WLX41" s="228"/>
      <c r="WLY41" s="228"/>
      <c r="WLZ41" s="228"/>
      <c r="WMA41" s="226"/>
      <c r="WMB41" s="226"/>
      <c r="WMC41" s="224"/>
      <c r="WMD41" s="225"/>
      <c r="WME41" s="226"/>
      <c r="WMF41" s="227"/>
      <c r="WMG41" s="228"/>
      <c r="WMH41" s="228"/>
      <c r="WMI41" s="228"/>
      <c r="WMJ41" s="228"/>
      <c r="WMK41" s="228"/>
      <c r="WML41" s="228"/>
      <c r="WMM41" s="226"/>
      <c r="WMN41" s="226"/>
      <c r="WMO41" s="224"/>
      <c r="WMP41" s="225"/>
      <c r="WMQ41" s="226"/>
      <c r="WMR41" s="227"/>
      <c r="WMS41" s="228"/>
      <c r="WMT41" s="228"/>
      <c r="WMU41" s="228"/>
      <c r="WMV41" s="228"/>
      <c r="WMW41" s="228"/>
      <c r="WMX41" s="228"/>
      <c r="WMY41" s="226"/>
      <c r="WMZ41" s="226"/>
      <c r="WNA41" s="224"/>
      <c r="WNB41" s="225"/>
      <c r="WNC41" s="226"/>
      <c r="WND41" s="227"/>
      <c r="WNE41" s="228"/>
      <c r="WNF41" s="228"/>
      <c r="WNG41" s="228"/>
      <c r="WNH41" s="228"/>
      <c r="WNI41" s="228"/>
      <c r="WNJ41" s="228"/>
      <c r="WNK41" s="226"/>
      <c r="WNL41" s="226"/>
      <c r="WNM41" s="224"/>
      <c r="WNN41" s="225"/>
      <c r="WNO41" s="226"/>
      <c r="WNP41" s="227"/>
      <c r="WNQ41" s="228"/>
      <c r="WNR41" s="228"/>
      <c r="WNS41" s="228"/>
      <c r="WNT41" s="228"/>
      <c r="WNU41" s="228"/>
      <c r="WNV41" s="228"/>
      <c r="WNW41" s="226"/>
      <c r="WNX41" s="226"/>
      <c r="WNY41" s="224"/>
      <c r="WNZ41" s="225"/>
      <c r="WOA41" s="226"/>
      <c r="WOB41" s="227"/>
      <c r="WOC41" s="228"/>
      <c r="WOD41" s="228"/>
      <c r="WOE41" s="228"/>
      <c r="WOF41" s="228"/>
      <c r="WOG41" s="228"/>
      <c r="WOH41" s="228"/>
      <c r="WOI41" s="226"/>
      <c r="WOJ41" s="226"/>
      <c r="WOK41" s="224"/>
      <c r="WOL41" s="225"/>
      <c r="WOM41" s="226"/>
      <c r="WON41" s="227"/>
      <c r="WOO41" s="228"/>
      <c r="WOP41" s="228"/>
      <c r="WOQ41" s="228"/>
      <c r="WOR41" s="228"/>
      <c r="WOS41" s="228"/>
      <c r="WOT41" s="228"/>
      <c r="WOU41" s="226"/>
      <c r="WOV41" s="226"/>
      <c r="WOW41" s="224"/>
      <c r="WOX41" s="225"/>
      <c r="WOY41" s="226"/>
      <c r="WOZ41" s="227"/>
      <c r="WPA41" s="228"/>
      <c r="WPB41" s="228"/>
      <c r="WPC41" s="228"/>
      <c r="WPD41" s="228"/>
      <c r="WPE41" s="228"/>
      <c r="WPF41" s="228"/>
      <c r="WPG41" s="226"/>
      <c r="WPH41" s="226"/>
      <c r="WPI41" s="224"/>
      <c r="WPJ41" s="225"/>
      <c r="WPK41" s="226"/>
      <c r="WPL41" s="227"/>
      <c r="WPM41" s="228"/>
      <c r="WPN41" s="228"/>
      <c r="WPO41" s="228"/>
      <c r="WPP41" s="228"/>
      <c r="WPQ41" s="228"/>
      <c r="WPR41" s="228"/>
      <c r="WPS41" s="226"/>
      <c r="WPT41" s="226"/>
      <c r="WPU41" s="224"/>
      <c r="WPV41" s="225"/>
      <c r="WPW41" s="226"/>
      <c r="WPX41" s="227"/>
      <c r="WPY41" s="228"/>
      <c r="WPZ41" s="228"/>
      <c r="WQA41" s="228"/>
      <c r="WQB41" s="228"/>
      <c r="WQC41" s="228"/>
      <c r="WQD41" s="228"/>
      <c r="WQE41" s="226"/>
      <c r="WQF41" s="226"/>
      <c r="WQG41" s="224"/>
      <c r="WQH41" s="225"/>
      <c r="WQI41" s="226"/>
      <c r="WQJ41" s="227"/>
      <c r="WQK41" s="228"/>
      <c r="WQL41" s="228"/>
      <c r="WQM41" s="228"/>
      <c r="WQN41" s="228"/>
      <c r="WQO41" s="228"/>
      <c r="WQP41" s="228"/>
      <c r="WQQ41" s="226"/>
      <c r="WQR41" s="226"/>
      <c r="WQS41" s="224"/>
      <c r="WQT41" s="225"/>
      <c r="WQU41" s="226"/>
      <c r="WQV41" s="227"/>
      <c r="WQW41" s="228"/>
      <c r="WQX41" s="228"/>
      <c r="WQY41" s="228"/>
      <c r="WQZ41" s="228"/>
      <c r="WRA41" s="228"/>
      <c r="WRB41" s="228"/>
      <c r="WRC41" s="226"/>
      <c r="WRD41" s="226"/>
      <c r="WRE41" s="224"/>
      <c r="WRF41" s="225"/>
      <c r="WRG41" s="226"/>
      <c r="WRH41" s="227"/>
      <c r="WRI41" s="228"/>
      <c r="WRJ41" s="228"/>
      <c r="WRK41" s="228"/>
      <c r="WRL41" s="228"/>
      <c r="WRM41" s="228"/>
      <c r="WRN41" s="228"/>
      <c r="WRO41" s="226"/>
      <c r="WRP41" s="226"/>
      <c r="WRQ41" s="224"/>
      <c r="WRR41" s="225"/>
      <c r="WRS41" s="226"/>
      <c r="WRT41" s="227"/>
      <c r="WRU41" s="228"/>
      <c r="WRV41" s="228"/>
      <c r="WRW41" s="228"/>
      <c r="WRX41" s="228"/>
      <c r="WRY41" s="228"/>
      <c r="WRZ41" s="228"/>
      <c r="WSA41" s="226"/>
      <c r="WSB41" s="226"/>
      <c r="WSC41" s="224"/>
      <c r="WSD41" s="225"/>
      <c r="WSE41" s="226"/>
      <c r="WSF41" s="227"/>
      <c r="WSG41" s="228"/>
      <c r="WSH41" s="228"/>
      <c r="WSI41" s="228"/>
      <c r="WSJ41" s="228"/>
      <c r="WSK41" s="228"/>
      <c r="WSL41" s="228"/>
      <c r="WSM41" s="226"/>
      <c r="WSN41" s="226"/>
      <c r="WSO41" s="224"/>
      <c r="WSP41" s="225"/>
      <c r="WSQ41" s="226"/>
      <c r="WSR41" s="227"/>
      <c r="WSS41" s="228"/>
      <c r="WST41" s="228"/>
      <c r="WSU41" s="228"/>
      <c r="WSV41" s="228"/>
      <c r="WSW41" s="228"/>
      <c r="WSX41" s="228"/>
      <c r="WSY41" s="226"/>
      <c r="WSZ41" s="226"/>
      <c r="WTA41" s="224"/>
      <c r="WTB41" s="225"/>
      <c r="WTC41" s="226"/>
      <c r="WTD41" s="227"/>
      <c r="WTE41" s="228"/>
      <c r="WTF41" s="228"/>
      <c r="WTG41" s="228"/>
      <c r="WTH41" s="228"/>
      <c r="WTI41" s="228"/>
      <c r="WTJ41" s="228"/>
      <c r="WTK41" s="226"/>
      <c r="WTL41" s="226"/>
      <c r="WTM41" s="224"/>
      <c r="WTN41" s="225"/>
      <c r="WTO41" s="226"/>
      <c r="WTP41" s="227"/>
      <c r="WTQ41" s="228"/>
      <c r="WTR41" s="228"/>
      <c r="WTS41" s="228"/>
      <c r="WTT41" s="228"/>
      <c r="WTU41" s="228"/>
      <c r="WTV41" s="228"/>
      <c r="WTW41" s="226"/>
      <c r="WTX41" s="226"/>
      <c r="WTY41" s="224"/>
      <c r="WTZ41" s="225"/>
      <c r="WUA41" s="226"/>
      <c r="WUB41" s="227"/>
      <c r="WUC41" s="228"/>
      <c r="WUD41" s="228"/>
      <c r="WUE41" s="228"/>
      <c r="WUF41" s="228"/>
      <c r="WUG41" s="228"/>
      <c r="WUH41" s="228"/>
      <c r="WUI41" s="226"/>
      <c r="WUJ41" s="226"/>
      <c r="WUK41" s="224"/>
      <c r="WUL41" s="225"/>
      <c r="WUM41" s="226"/>
      <c r="WUN41" s="227"/>
      <c r="WUO41" s="228"/>
      <c r="WUP41" s="228"/>
      <c r="WUQ41" s="228"/>
      <c r="WUR41" s="228"/>
      <c r="WUS41" s="228"/>
      <c r="WUT41" s="228"/>
      <c r="WUU41" s="226"/>
      <c r="WUV41" s="226"/>
      <c r="WUW41" s="224"/>
      <c r="WUX41" s="225"/>
      <c r="WUY41" s="226"/>
      <c r="WUZ41" s="227"/>
      <c r="WVA41" s="228"/>
      <c r="WVB41" s="228"/>
      <c r="WVC41" s="228"/>
      <c r="WVD41" s="228"/>
      <c r="WVE41" s="228"/>
      <c r="WVF41" s="228"/>
      <c r="WVG41" s="226"/>
      <c r="WVH41" s="226"/>
      <c r="WVI41" s="224"/>
      <c r="WVJ41" s="225"/>
      <c r="WVK41" s="226"/>
      <c r="WVL41" s="227"/>
      <c r="WVM41" s="228"/>
      <c r="WVN41" s="228"/>
      <c r="WVO41" s="228"/>
      <c r="WVP41" s="228"/>
      <c r="WVQ41" s="228"/>
      <c r="WVR41" s="228"/>
      <c r="WVS41" s="226"/>
      <c r="WVT41" s="226"/>
      <c r="WVU41" s="224"/>
      <c r="WVV41" s="225"/>
      <c r="WVW41" s="226"/>
      <c r="WVX41" s="227"/>
      <c r="WVY41" s="228"/>
      <c r="WVZ41" s="228"/>
      <c r="WWA41" s="228"/>
      <c r="WWB41" s="228"/>
      <c r="WWC41" s="228"/>
      <c r="WWD41" s="228"/>
      <c r="WWE41" s="226"/>
      <c r="WWF41" s="226"/>
      <c r="WWG41" s="224"/>
      <c r="WWH41" s="225"/>
      <c r="WWI41" s="226"/>
      <c r="WWJ41" s="227"/>
      <c r="WWK41" s="228"/>
      <c r="WWL41" s="228"/>
      <c r="WWM41" s="228"/>
      <c r="WWN41" s="228"/>
      <c r="WWO41" s="228"/>
      <c r="WWP41" s="228"/>
      <c r="WWQ41" s="226"/>
      <c r="WWR41" s="226"/>
      <c r="WWS41" s="224"/>
      <c r="WWT41" s="225"/>
      <c r="WWU41" s="226"/>
      <c r="WWV41" s="227"/>
      <c r="WWW41" s="228"/>
      <c r="WWX41" s="228"/>
      <c r="WWY41" s="228"/>
      <c r="WWZ41" s="228"/>
      <c r="WXA41" s="228"/>
      <c r="WXB41" s="228"/>
      <c r="WXC41" s="226"/>
      <c r="WXD41" s="226"/>
      <c r="WXE41" s="224"/>
      <c r="WXF41" s="225"/>
      <c r="WXG41" s="226"/>
      <c r="WXH41" s="227"/>
      <c r="WXI41" s="228"/>
      <c r="WXJ41" s="228"/>
      <c r="WXK41" s="228"/>
      <c r="WXL41" s="228"/>
      <c r="WXM41" s="228"/>
      <c r="WXN41" s="228"/>
      <c r="WXO41" s="226"/>
      <c r="WXP41" s="226"/>
      <c r="WXQ41" s="224"/>
      <c r="WXR41" s="225"/>
      <c r="WXS41" s="226"/>
      <c r="WXT41" s="227"/>
      <c r="WXU41" s="228"/>
      <c r="WXV41" s="228"/>
      <c r="WXW41" s="228"/>
      <c r="WXX41" s="228"/>
      <c r="WXY41" s="228"/>
      <c r="WXZ41" s="228"/>
      <c r="WYA41" s="226"/>
      <c r="WYB41" s="226"/>
      <c r="WYC41" s="224"/>
      <c r="WYD41" s="225"/>
      <c r="WYE41" s="226"/>
      <c r="WYF41" s="227"/>
      <c r="WYG41" s="228"/>
      <c r="WYH41" s="228"/>
      <c r="WYI41" s="228"/>
      <c r="WYJ41" s="228"/>
      <c r="WYK41" s="228"/>
      <c r="WYL41" s="228"/>
      <c r="WYM41" s="226"/>
      <c r="WYN41" s="226"/>
      <c r="WYO41" s="224"/>
      <c r="WYP41" s="225"/>
      <c r="WYQ41" s="226"/>
      <c r="WYR41" s="227"/>
      <c r="WYS41" s="228"/>
      <c r="WYT41" s="228"/>
      <c r="WYU41" s="228"/>
      <c r="WYV41" s="228"/>
      <c r="WYW41" s="228"/>
      <c r="WYX41" s="228"/>
      <c r="WYY41" s="226"/>
      <c r="WYZ41" s="226"/>
      <c r="WZA41" s="224"/>
      <c r="WZB41" s="225"/>
      <c r="WZC41" s="226"/>
      <c r="WZD41" s="227"/>
      <c r="WZE41" s="228"/>
      <c r="WZF41" s="228"/>
      <c r="WZG41" s="228"/>
      <c r="WZH41" s="228"/>
      <c r="WZI41" s="228"/>
      <c r="WZJ41" s="228"/>
      <c r="WZK41" s="226"/>
      <c r="WZL41" s="226"/>
      <c r="WZM41" s="224"/>
      <c r="WZN41" s="225"/>
      <c r="WZO41" s="226"/>
      <c r="WZP41" s="227"/>
      <c r="WZQ41" s="228"/>
      <c r="WZR41" s="228"/>
      <c r="WZS41" s="228"/>
      <c r="WZT41" s="228"/>
      <c r="WZU41" s="228"/>
      <c r="WZV41" s="228"/>
      <c r="WZW41" s="226"/>
      <c r="WZX41" s="226"/>
      <c r="WZY41" s="224"/>
      <c r="WZZ41" s="225"/>
      <c r="XAA41" s="226"/>
      <c r="XAB41" s="227"/>
      <c r="XAC41" s="228"/>
      <c r="XAD41" s="228"/>
      <c r="XAE41" s="228"/>
      <c r="XAF41" s="228"/>
      <c r="XAG41" s="228"/>
      <c r="XAH41" s="228"/>
      <c r="XAI41" s="226"/>
      <c r="XAJ41" s="226"/>
      <c r="XAK41" s="224"/>
      <c r="XAL41" s="225"/>
      <c r="XAM41" s="226"/>
      <c r="XAN41" s="227"/>
      <c r="XAO41" s="228"/>
      <c r="XAP41" s="228"/>
      <c r="XAQ41" s="228"/>
      <c r="XAR41" s="228"/>
      <c r="XAS41" s="228"/>
      <c r="XAT41" s="228"/>
      <c r="XAU41" s="226"/>
      <c r="XAV41" s="226"/>
      <c r="XAW41" s="224"/>
      <c r="XAX41" s="225"/>
      <c r="XAY41" s="226"/>
      <c r="XAZ41" s="227"/>
      <c r="XBA41" s="228"/>
      <c r="XBB41" s="228"/>
      <c r="XBC41" s="228"/>
      <c r="XBD41" s="228"/>
      <c r="XBE41" s="228"/>
      <c r="XBF41" s="228"/>
      <c r="XBG41" s="226"/>
      <c r="XBH41" s="226"/>
      <c r="XBI41" s="224"/>
      <c r="XBJ41" s="225"/>
      <c r="XBK41" s="226"/>
      <c r="XBL41" s="227"/>
      <c r="XBM41" s="228"/>
      <c r="XBN41" s="228"/>
      <c r="XBO41" s="228"/>
      <c r="XBP41" s="228"/>
      <c r="XBQ41" s="228"/>
      <c r="XBR41" s="228"/>
      <c r="XBS41" s="226"/>
      <c r="XBT41" s="226"/>
      <c r="XBU41" s="224"/>
      <c r="XBV41" s="225"/>
      <c r="XBW41" s="226"/>
      <c r="XBX41" s="227"/>
      <c r="XBY41" s="228"/>
      <c r="XBZ41" s="228"/>
      <c r="XCA41" s="228"/>
      <c r="XCB41" s="228"/>
      <c r="XCC41" s="228"/>
      <c r="XCD41" s="228"/>
      <c r="XCE41" s="226"/>
      <c r="XCF41" s="226"/>
      <c r="XCG41" s="224"/>
      <c r="XCH41" s="225"/>
      <c r="XCI41" s="226"/>
      <c r="XCJ41" s="227"/>
      <c r="XCK41" s="228"/>
      <c r="XCL41" s="228"/>
      <c r="XCM41" s="228"/>
      <c r="XCN41" s="228"/>
      <c r="XCO41" s="228"/>
      <c r="XCP41" s="228"/>
      <c r="XCQ41" s="226"/>
      <c r="XCR41" s="226"/>
      <c r="XCS41" s="224"/>
      <c r="XCT41" s="225"/>
      <c r="XCU41" s="226"/>
      <c r="XCV41" s="227"/>
      <c r="XCW41" s="228"/>
      <c r="XCX41" s="228"/>
      <c r="XCY41" s="228"/>
      <c r="XCZ41" s="228"/>
      <c r="XDA41" s="228"/>
      <c r="XDB41" s="228"/>
      <c r="XDC41" s="226"/>
      <c r="XDD41" s="226"/>
      <c r="XDE41" s="224"/>
      <c r="XDF41" s="225"/>
      <c r="XDG41" s="226"/>
      <c r="XDH41" s="227"/>
      <c r="XDI41" s="228"/>
      <c r="XDJ41" s="228"/>
      <c r="XDK41" s="228"/>
      <c r="XDL41" s="228"/>
      <c r="XDM41" s="228"/>
      <c r="XDN41" s="228"/>
      <c r="XDO41" s="226"/>
      <c r="XDP41" s="226"/>
      <c r="XDQ41" s="224"/>
      <c r="XDR41" s="225"/>
      <c r="XDS41" s="226"/>
      <c r="XDT41" s="227"/>
      <c r="XDU41" s="228"/>
      <c r="XDV41" s="228"/>
      <c r="XDW41" s="228"/>
      <c r="XDX41" s="228"/>
      <c r="XDY41" s="228"/>
      <c r="XDZ41" s="228"/>
      <c r="XEA41" s="226"/>
      <c r="XEB41" s="226"/>
      <c r="XEC41" s="224"/>
      <c r="XED41" s="225"/>
      <c r="XEE41" s="226"/>
      <c r="XEF41" s="227"/>
      <c r="XEG41" s="228"/>
      <c r="XEH41" s="228"/>
      <c r="XEI41" s="228"/>
      <c r="XEJ41" s="228"/>
      <c r="XEK41" s="228"/>
      <c r="XEL41" s="228"/>
      <c r="XEM41" s="226"/>
      <c r="XEN41" s="226"/>
      <c r="XEO41" s="224"/>
      <c r="XEP41" s="225"/>
      <c r="XEQ41" s="226"/>
      <c r="XER41" s="227"/>
      <c r="XES41" s="228"/>
      <c r="XET41" s="228"/>
      <c r="XEU41" s="228"/>
      <c r="XEV41" s="228"/>
      <c r="XEW41" s="228"/>
      <c r="XEX41" s="228"/>
      <c r="XEY41" s="226"/>
      <c r="XEZ41" s="226"/>
      <c r="XFA41" s="224"/>
      <c r="XFB41" s="225"/>
      <c r="XFC41" s="226"/>
      <c r="XFD41" s="227"/>
    </row>
    <row r="42" spans="1:16384" s="370" customFormat="1" ht="7.5" customHeight="1">
      <c r="A42" s="19"/>
      <c r="B42" s="19"/>
      <c r="C42" s="19"/>
      <c r="D42" s="109"/>
      <c r="E42" s="19"/>
      <c r="F42" s="19"/>
      <c r="G42" s="19"/>
      <c r="H42" s="19"/>
      <c r="I42" s="19"/>
      <c r="J42" s="19"/>
      <c r="K42" s="497"/>
      <c r="L42" s="231"/>
      <c r="N42" s="247"/>
      <c r="O42" s="247"/>
      <c r="P42" s="247"/>
      <c r="Q42" s="247"/>
      <c r="R42" s="247"/>
      <c r="S42" s="247"/>
      <c r="T42" s="247"/>
      <c r="U42" s="247"/>
      <c r="V42" s="247"/>
    </row>
    <row r="43" spans="1:16384" s="370" customFormat="1" ht="39.5">
      <c r="A43" s="112" t="s">
        <v>148</v>
      </c>
      <c r="B43" s="1" t="s">
        <v>116</v>
      </c>
      <c r="C43" s="2" t="s">
        <v>953</v>
      </c>
      <c r="D43" s="106" t="s">
        <v>1006</v>
      </c>
      <c r="E43" s="105" t="s">
        <v>0</v>
      </c>
      <c r="F43" s="1" t="s">
        <v>1</v>
      </c>
      <c r="G43" s="1" t="s">
        <v>2</v>
      </c>
      <c r="H43" s="1" t="s">
        <v>3</v>
      </c>
      <c r="I43" s="1" t="s">
        <v>4</v>
      </c>
      <c r="J43" s="1" t="s">
        <v>26</v>
      </c>
      <c r="K43" s="272" t="s">
        <v>5</v>
      </c>
      <c r="L43" s="232"/>
      <c r="N43" s="247"/>
      <c r="O43" s="247"/>
      <c r="P43" s="247"/>
      <c r="Q43" s="247"/>
      <c r="R43" s="247"/>
      <c r="S43" s="247"/>
      <c r="T43" s="247"/>
      <c r="U43" s="247"/>
      <c r="V43" s="247"/>
    </row>
    <row r="44" spans="1:16384" s="370" customFormat="1">
      <c r="A44" s="263" t="s">
        <v>149</v>
      </c>
      <c r="B44" s="113" t="s">
        <v>121</v>
      </c>
      <c r="C44" s="114">
        <f>CPC!E40</f>
        <v>428</v>
      </c>
      <c r="D44" s="115">
        <f>CPC!F40</f>
        <v>530</v>
      </c>
      <c r="E44" s="114">
        <f>CPC!G40</f>
        <v>100</v>
      </c>
      <c r="F44" s="114">
        <f>CPC!H40</f>
        <v>430</v>
      </c>
      <c r="G44" s="114">
        <f>CPC!I40</f>
        <v>0</v>
      </c>
      <c r="H44" s="114">
        <f>CPC!J40</f>
        <v>0</v>
      </c>
      <c r="I44" s="114">
        <f>CPC!K40</f>
        <v>0</v>
      </c>
      <c r="J44" s="114">
        <v>0</v>
      </c>
      <c r="K44" s="134">
        <f t="shared" ref="K44:K59" si="18">SUM(E44:J44)</f>
        <v>530</v>
      </c>
      <c r="L44" s="228">
        <f>(K44*-$M$2)+K44</f>
        <v>530</v>
      </c>
      <c r="N44" s="247"/>
      <c r="O44" s="247"/>
      <c r="P44" s="247"/>
      <c r="Q44" s="247"/>
      <c r="R44" s="247"/>
      <c r="S44" s="247"/>
      <c r="T44" s="247"/>
      <c r="U44" s="247"/>
      <c r="V44" s="247"/>
    </row>
    <row r="45" spans="1:16384" s="370" customFormat="1">
      <c r="A45" s="116" t="s">
        <v>150</v>
      </c>
      <c r="B45" s="117"/>
      <c r="C45" s="118"/>
      <c r="D45" s="119">
        <f>CPC!F41</f>
        <v>0</v>
      </c>
      <c r="E45" s="118">
        <f>-CPC!G44</f>
        <v>-206.70000000000002</v>
      </c>
      <c r="F45" s="118">
        <f>(-CPC!H44)+0.2</f>
        <v>-217.1</v>
      </c>
      <c r="G45" s="118">
        <f>-CPC!I44</f>
        <v>-31.799999999999997</v>
      </c>
      <c r="H45" s="118">
        <f>-CPC!J44</f>
        <v>-74.2</v>
      </c>
      <c r="I45" s="118">
        <f>CPC!K46</f>
        <v>0</v>
      </c>
      <c r="J45" s="118">
        <v>0</v>
      </c>
      <c r="K45" s="135">
        <f t="shared" si="18"/>
        <v>-529.80000000000007</v>
      </c>
      <c r="L45" s="230"/>
      <c r="N45" s="247"/>
      <c r="O45" s="247"/>
      <c r="P45" s="247"/>
      <c r="Q45" s="247"/>
      <c r="R45" s="247"/>
      <c r="S45" s="247"/>
      <c r="T45" s="247"/>
      <c r="U45" s="247"/>
      <c r="V45" s="247"/>
    </row>
    <row r="46" spans="1:16384" s="370" customFormat="1">
      <c r="A46" s="263" t="s">
        <v>151</v>
      </c>
      <c r="B46" s="113" t="s">
        <v>121</v>
      </c>
      <c r="C46" s="266">
        <f>+FIRES!K65</f>
        <v>755.33139999999992</v>
      </c>
      <c r="D46" s="267">
        <f>+FIRES!K58</f>
        <v>732.09119999999996</v>
      </c>
      <c r="E46" s="114">
        <f>FIRES!G46*'Prep%Fuelspercentage.direct'!$C38</f>
        <v>0</v>
      </c>
      <c r="F46" s="114">
        <f>+FIRES!K58</f>
        <v>732.09119999999996</v>
      </c>
      <c r="G46" s="114">
        <f>FIRES!I46*'Prep%Fuelspercentage.direct'!$B38</f>
        <v>0</v>
      </c>
      <c r="H46" s="114">
        <f>FIRES!J46*'Prep%Fuelspercentage.direct'!$B38</f>
        <v>0</v>
      </c>
      <c r="I46" s="114">
        <f>FIRES!K46*'Prep%Fuelspercentage.direct'!$B38</f>
        <v>0</v>
      </c>
      <c r="J46" s="114">
        <v>0</v>
      </c>
      <c r="K46" s="134">
        <f t="shared" si="18"/>
        <v>732.09119999999996</v>
      </c>
      <c r="L46" s="228">
        <f>(K46*-$M$2)+K46</f>
        <v>732.09119999999996</v>
      </c>
      <c r="M46" s="247"/>
      <c r="N46" s="247"/>
      <c r="O46" s="247"/>
      <c r="P46" s="247"/>
      <c r="Q46" s="247"/>
      <c r="R46" s="247"/>
      <c r="S46" s="247"/>
      <c r="T46" s="247"/>
      <c r="U46" s="247"/>
      <c r="V46" s="247"/>
    </row>
    <row r="47" spans="1:16384" s="370" customFormat="1">
      <c r="A47" s="116" t="s">
        <v>150</v>
      </c>
      <c r="B47" s="117"/>
      <c r="C47" s="118"/>
      <c r="D47" s="119">
        <f>FIRES!F51</f>
        <v>0</v>
      </c>
      <c r="E47" s="118">
        <f>-FIRES!G58</f>
        <v>-38.344560000000001</v>
      </c>
      <c r="F47" s="118">
        <f>-FIRES!H58</f>
        <v>-420.75689599999998</v>
      </c>
      <c r="G47" s="118">
        <f>-FIRES!I58</f>
        <v>-89.266943999999995</v>
      </c>
      <c r="H47" s="118">
        <f>-FIRES!J58</f>
        <v>-183.72280000000001</v>
      </c>
      <c r="I47" s="118">
        <f>FIRES!K50*'Prep%Fuelspercentage.direct'!$B38</f>
        <v>0</v>
      </c>
      <c r="J47" s="118">
        <v>0</v>
      </c>
      <c r="K47" s="135">
        <f t="shared" si="18"/>
        <v>-732.09119999999996</v>
      </c>
      <c r="L47" s="233"/>
      <c r="N47" s="247"/>
      <c r="O47" s="247"/>
      <c r="P47" s="247"/>
      <c r="Q47" s="247"/>
      <c r="R47" s="247"/>
      <c r="S47" s="247"/>
      <c r="T47" s="247"/>
      <c r="U47" s="247"/>
      <c r="V47" s="247"/>
    </row>
    <row r="48" spans="1:16384" s="370" customFormat="1">
      <c r="A48" s="263" t="s">
        <v>152</v>
      </c>
      <c r="B48" s="113" t="s">
        <v>121</v>
      </c>
      <c r="C48" s="114">
        <f>'Med Standards Exams'!E40</f>
        <v>3017</v>
      </c>
      <c r="D48" s="115">
        <f>'Med Standards Exams'!F40</f>
        <v>1977</v>
      </c>
      <c r="E48" s="114">
        <f>'Med Standards Exams'!G40</f>
        <v>0</v>
      </c>
      <c r="F48" s="114">
        <f>'Med Standards Exams'!H40</f>
        <v>1977</v>
      </c>
      <c r="G48" s="114">
        <f>'Med Standards Exams'!I40</f>
        <v>0</v>
      </c>
      <c r="H48" s="114">
        <f>'Med Standards Exams'!J40</f>
        <v>0</v>
      </c>
      <c r="I48" s="114">
        <f>'Med Standards Exams'!K40</f>
        <v>0</v>
      </c>
      <c r="J48" s="114">
        <f>'Med Standards Exams'!L40</f>
        <v>0</v>
      </c>
      <c r="K48" s="134">
        <f t="shared" si="18"/>
        <v>1977</v>
      </c>
      <c r="L48" s="228">
        <f>(K48*-$M$2)+K48</f>
        <v>1977</v>
      </c>
      <c r="N48" s="247"/>
      <c r="O48" s="247"/>
      <c r="P48" s="247"/>
      <c r="Q48" s="247"/>
      <c r="R48" s="247"/>
      <c r="S48" s="247"/>
      <c r="T48" s="247"/>
      <c r="U48" s="247"/>
      <c r="V48" s="247"/>
    </row>
    <row r="49" spans="1:16384" s="370" customFormat="1">
      <c r="A49" s="120" t="s">
        <v>150</v>
      </c>
      <c r="B49" s="121"/>
      <c r="C49" s="122">
        <v>0</v>
      </c>
      <c r="D49" s="107"/>
      <c r="E49" s="122">
        <f>-'Med Standards Exams'!G44</f>
        <v>-408.44819999999999</v>
      </c>
      <c r="F49" s="122">
        <f>(-'Med Standards Exams'!H44)-0.4</f>
        <v>-881.15350000000001</v>
      </c>
      <c r="G49" s="122">
        <f>-'Med Standards Exams'!I44</f>
        <v>-277.17539999999997</v>
      </c>
      <c r="H49" s="122">
        <f>(-'Med Standards Exams'!J44)</f>
        <v>-410.42520000000002</v>
      </c>
      <c r="I49" s="122">
        <f>-'Med Standards Exams'!K44</f>
        <v>0</v>
      </c>
      <c r="J49" s="122">
        <v>0</v>
      </c>
      <c r="K49" s="136">
        <f t="shared" si="18"/>
        <v>-1977.2022999999999</v>
      </c>
      <c r="L49" s="342"/>
      <c r="N49" s="247"/>
      <c r="O49" s="247"/>
      <c r="P49" s="247"/>
      <c r="Q49" s="247"/>
      <c r="R49" s="247"/>
      <c r="S49" s="247"/>
      <c r="T49" s="247"/>
      <c r="U49" s="247"/>
      <c r="V49" s="247"/>
    </row>
    <row r="50" spans="1:16384" s="370" customFormat="1">
      <c r="A50" s="263" t="s">
        <v>153</v>
      </c>
      <c r="B50" s="113" t="s">
        <v>154</v>
      </c>
      <c r="C50" s="114">
        <f>'Misc and one-time - Prep'!E39</f>
        <v>922</v>
      </c>
      <c r="D50" s="115">
        <f>+'Misc and one-time - Prep'!F53</f>
        <v>996</v>
      </c>
      <c r="E50" s="114">
        <f>'Misc and one-time - Prep'!G39</f>
        <v>0</v>
      </c>
      <c r="F50" s="114">
        <f>'Misc and one-time - Prep'!H39</f>
        <v>687</v>
      </c>
      <c r="G50" s="114">
        <f>'Misc and one-time - Prep'!I39</f>
        <v>0</v>
      </c>
      <c r="H50" s="114">
        <f>'Misc and one-time - Prep'!J39</f>
        <v>0</v>
      </c>
      <c r="I50" s="114">
        <f>'Misc and one-time - Prep'!K39</f>
        <v>0</v>
      </c>
      <c r="J50" s="114">
        <f>'Misc and one-time - Prep'!L39</f>
        <v>309</v>
      </c>
      <c r="K50" s="134">
        <f t="shared" si="18"/>
        <v>996</v>
      </c>
      <c r="L50" s="228">
        <f>(K50*-$M$2)+K50</f>
        <v>996</v>
      </c>
      <c r="N50" s="247"/>
      <c r="O50" s="247"/>
      <c r="P50" s="247"/>
      <c r="Q50" s="247"/>
      <c r="R50" s="247"/>
      <c r="S50" s="247"/>
      <c r="T50" s="247"/>
      <c r="U50" s="247"/>
      <c r="V50" s="247"/>
    </row>
    <row r="51" spans="1:16384" s="370" customFormat="1">
      <c r="A51" s="116" t="s">
        <v>150</v>
      </c>
      <c r="B51" s="117"/>
      <c r="C51" s="118"/>
      <c r="D51" s="119">
        <f>'Misc and one-time - Prep'!E40</f>
        <v>0</v>
      </c>
      <c r="E51" s="118">
        <f>-'Misc and one-time - Prep'!G53</f>
        <v>-324.12</v>
      </c>
      <c r="F51" s="118">
        <f>-'Misc and one-time - Prep'!H53</f>
        <v>-202.18</v>
      </c>
      <c r="G51" s="118">
        <f>-'Misc and one-time - Prep'!I53</f>
        <v>-133.88</v>
      </c>
      <c r="H51" s="118">
        <f>-'Misc and one-time - Prep'!J53</f>
        <v>-330.83</v>
      </c>
      <c r="I51" s="118">
        <f>-'Misc and one-time - Prep'!K53</f>
        <v>-5</v>
      </c>
      <c r="J51" s="118">
        <v>0</v>
      </c>
      <c r="K51" s="135">
        <f t="shared" si="18"/>
        <v>-996.01</v>
      </c>
      <c r="L51" s="233"/>
      <c r="N51" s="247"/>
    </row>
    <row r="52" spans="1:16384" s="370" customFormat="1">
      <c r="A52" s="263" t="s">
        <v>155</v>
      </c>
      <c r="B52" s="113" t="s">
        <v>121</v>
      </c>
      <c r="C52" s="114">
        <f>'NIFC Site &amp; Admin'!E39</f>
        <v>638</v>
      </c>
      <c r="D52" s="115">
        <f>'NIFC Site &amp; Admin'!F39</f>
        <v>610</v>
      </c>
      <c r="E52" s="114">
        <f>'NIFC Site &amp; Admin'!G39</f>
        <v>0</v>
      </c>
      <c r="F52" s="114">
        <f>'NIFC Site &amp; Admin'!H39</f>
        <v>610</v>
      </c>
      <c r="G52" s="114">
        <f>'NIFC Site &amp; Admin'!I39</f>
        <v>0</v>
      </c>
      <c r="H52" s="114">
        <f>'NIFC Site &amp; Admin'!J39</f>
        <v>0</v>
      </c>
      <c r="I52" s="114">
        <f>'NIFC Site &amp; Admin'!K39</f>
        <v>0</v>
      </c>
      <c r="J52" s="114">
        <f>'NIFC Site &amp; Admin'!L39</f>
        <v>0</v>
      </c>
      <c r="K52" s="134">
        <f>SUM(E52:J52)</f>
        <v>610</v>
      </c>
      <c r="L52" s="228">
        <f>(K52*-$M$2)+K52</f>
        <v>610</v>
      </c>
      <c r="N52" s="247"/>
    </row>
    <row r="53" spans="1:16384" s="370" customFormat="1">
      <c r="A53" s="116" t="s">
        <v>150</v>
      </c>
      <c r="B53" s="117"/>
      <c r="C53" s="118"/>
      <c r="D53" s="119">
        <f>'NIFC Site &amp; Admin'!F38</f>
        <v>0</v>
      </c>
      <c r="E53" s="118">
        <f>(-'NIFC Site &amp; Admin'!G43)-0.2</f>
        <v>-244.2</v>
      </c>
      <c r="F53" s="118">
        <f>-'NIFC Site &amp; Admin'!H43</f>
        <v>0</v>
      </c>
      <c r="G53" s="118">
        <f>-'NIFC Site &amp; Admin'!I43</f>
        <v>-156</v>
      </c>
      <c r="H53" s="118">
        <f>-'NIFC Site &amp; Admin'!J43</f>
        <v>-210</v>
      </c>
      <c r="I53" s="118">
        <f>-'NIFC Site &amp; Admin'!K43</f>
        <v>0</v>
      </c>
      <c r="J53" s="118">
        <f>-'NIFC Site &amp; Admin'!L43</f>
        <v>0</v>
      </c>
      <c r="K53" s="135">
        <f>SUM(E53:J53)</f>
        <v>-610.20000000000005</v>
      </c>
      <c r="L53" s="230"/>
      <c r="N53" s="247"/>
    </row>
    <row r="54" spans="1:16384" s="370" customFormat="1">
      <c r="A54" s="263" t="s">
        <v>156</v>
      </c>
      <c r="B54" s="113" t="s">
        <v>121</v>
      </c>
      <c r="C54" s="114">
        <f>'NWCG Staff'!E70</f>
        <v>1448</v>
      </c>
      <c r="D54" s="115">
        <f>'NWCG Staff'!F70</f>
        <v>1803.2</v>
      </c>
      <c r="E54" s="114">
        <f>'NWCG Staff'!G69</f>
        <v>117</v>
      </c>
      <c r="F54" s="114">
        <f>'NWCG Staff'!H69+'NWCG Staff'!M74</f>
        <v>1523.2000000000003</v>
      </c>
      <c r="G54" s="114">
        <f>'NWCG Staff'!I69</f>
        <v>0</v>
      </c>
      <c r="H54" s="114">
        <f>'NWCG Staff'!J69</f>
        <v>163</v>
      </c>
      <c r="I54" s="114">
        <f>'NWCG Staff'!K69</f>
        <v>0</v>
      </c>
      <c r="J54" s="114">
        <v>0</v>
      </c>
      <c r="K54" s="134">
        <f t="shared" si="18"/>
        <v>1803.2000000000003</v>
      </c>
      <c r="L54" s="228">
        <f>(K54*-$M$2)+K54</f>
        <v>1803.2000000000003</v>
      </c>
      <c r="N54" s="247"/>
    </row>
    <row r="55" spans="1:16384" s="370" customFormat="1">
      <c r="A55" s="116" t="s">
        <v>150</v>
      </c>
      <c r="B55" s="117"/>
      <c r="C55" s="118"/>
      <c r="D55" s="119">
        <f>'NIFC Site &amp; Admin'!F40</f>
        <v>0</v>
      </c>
      <c r="E55" s="118">
        <f>-'NWCG Staff'!G73</f>
        <v>-360.64</v>
      </c>
      <c r="F55" s="118">
        <f>-'NWCG Staff'!H73</f>
        <v>-1036.8400000000001</v>
      </c>
      <c r="G55" s="118">
        <f>-'NWCG Staff'!I73</f>
        <v>-225.4</v>
      </c>
      <c r="H55" s="118">
        <f>-'NWCG Staff'!J73</f>
        <v>-180.32</v>
      </c>
      <c r="I55" s="118">
        <f>-'NWCG Staff'!K73</f>
        <v>0</v>
      </c>
      <c r="J55" s="118">
        <f>-'NWCG Staff'!L73</f>
        <v>0</v>
      </c>
      <c r="K55" s="135">
        <f t="shared" si="18"/>
        <v>-1803.2</v>
      </c>
      <c r="L55" s="230"/>
      <c r="N55" s="247"/>
    </row>
    <row r="56" spans="1:16384" s="370" customFormat="1">
      <c r="A56" s="263" t="s">
        <v>157</v>
      </c>
      <c r="B56" s="113" t="s">
        <v>121</v>
      </c>
      <c r="C56" s="114">
        <f>'NWCG Prep Projects'!E37</f>
        <v>771</v>
      </c>
      <c r="D56" s="115">
        <f>'NWCG Prep Projects'!F37</f>
        <v>534</v>
      </c>
      <c r="E56" s="114">
        <f>'NWCG Prep Projects'!G36</f>
        <v>0</v>
      </c>
      <c r="F56" s="114">
        <f>'NWCG Prep Projects'!H36+'NWCG Prep Projects'!M41</f>
        <v>434</v>
      </c>
      <c r="G56" s="114">
        <f>'NWCG Prep Projects'!I36</f>
        <v>0</v>
      </c>
      <c r="H56" s="114">
        <f>'NWCG Prep Projects'!J36</f>
        <v>0</v>
      </c>
      <c r="I56" s="114">
        <f>'NWCG Prep Projects'!K36-'NWCG Prep Projects'!B48</f>
        <v>100</v>
      </c>
      <c r="J56" s="114">
        <f>'NWCG Prep Projects'!L36</f>
        <v>0</v>
      </c>
      <c r="K56" s="134">
        <f>SUM(E56:J56)</f>
        <v>534</v>
      </c>
      <c r="L56" s="228">
        <f>(K56*-$M$2)+K56</f>
        <v>534</v>
      </c>
      <c r="N56" s="247"/>
    </row>
    <row r="57" spans="1:16384" s="370" customFormat="1">
      <c r="A57" s="116" t="s">
        <v>150</v>
      </c>
      <c r="B57" s="117"/>
      <c r="C57" s="118"/>
      <c r="D57" s="119">
        <f>'NIFC Site &amp; Admin'!F42</f>
        <v>0</v>
      </c>
      <c r="E57" s="118">
        <f>-'NWCG Prep Projects'!G40</f>
        <v>-106.8</v>
      </c>
      <c r="F57" s="118">
        <f>-'NWCG Prep Projects'!H40</f>
        <v>-307.05</v>
      </c>
      <c r="G57" s="118">
        <f>-'NWCG Prep Projects'!I40</f>
        <v>-66.75</v>
      </c>
      <c r="H57" s="118">
        <f>-'NWCG Prep Projects'!J40</f>
        <v>-53.4</v>
      </c>
      <c r="I57" s="118">
        <f>-'NWCG Prep Projects'!K40</f>
        <v>0</v>
      </c>
      <c r="J57" s="118">
        <f>-'NWCG Prep Projects'!L40</f>
        <v>0</v>
      </c>
      <c r="K57" s="135">
        <f>SUM(E57:J57)</f>
        <v>-534</v>
      </c>
      <c r="L57" s="230"/>
      <c r="N57" s="247"/>
    </row>
    <row r="58" spans="1:16384" s="370" customFormat="1">
      <c r="A58" s="263" t="s">
        <v>158</v>
      </c>
      <c r="B58" s="113" t="s">
        <v>121</v>
      </c>
      <c r="C58" s="114">
        <f>'RSFWSU (RAWS) SLA'!E39</f>
        <v>496</v>
      </c>
      <c r="D58" s="115">
        <f>ROUND('RSFWSU (RAWS) SLA'!F39,0)</f>
        <v>541</v>
      </c>
      <c r="E58" s="114">
        <f>'RSFWSU (RAWS) SLA'!G39</f>
        <v>0</v>
      </c>
      <c r="F58" s="114">
        <f>ROUND('RSFWSU (RAWS) SLA'!H39,0)</f>
        <v>541</v>
      </c>
      <c r="G58" s="114">
        <f>'RSFWSU (RAWS) SLA'!I39</f>
        <v>0</v>
      </c>
      <c r="H58" s="114">
        <f>'RSFWSU (RAWS) SLA'!J39</f>
        <v>0</v>
      </c>
      <c r="I58" s="114">
        <v>0</v>
      </c>
      <c r="J58" s="114">
        <v>0</v>
      </c>
      <c r="K58" s="134">
        <f t="shared" si="18"/>
        <v>541</v>
      </c>
      <c r="L58" s="228">
        <f>(K58*-$M$2)+K58</f>
        <v>541</v>
      </c>
      <c r="N58" s="247"/>
    </row>
    <row r="59" spans="1:16384" s="370" customFormat="1">
      <c r="A59" s="116" t="s">
        <v>150</v>
      </c>
      <c r="B59" s="117"/>
      <c r="C59" s="118"/>
      <c r="D59" s="119"/>
      <c r="E59" s="118">
        <f>ROUND(-'RSFWSU (RAWS) SLA'!G43,0)</f>
        <v>-237</v>
      </c>
      <c r="F59" s="118">
        <f>ROUND(-'RSFWSU (RAWS) SLA'!H43,0)</f>
        <v>0</v>
      </c>
      <c r="G59" s="118">
        <f>ROUND(-'RSFWSU (RAWS) SLA'!I43,0)</f>
        <v>-145</v>
      </c>
      <c r="H59" s="118">
        <f>ROUND(-'RSFWSU (RAWS) SLA'!J43,0)</f>
        <v>-159</v>
      </c>
      <c r="I59" s="118">
        <f>-'RSFWSU (RAWS) SLA'!K43</f>
        <v>0</v>
      </c>
      <c r="J59" s="118">
        <f>-'RSFWSU (RAWS) SLA'!L43</f>
        <v>0</v>
      </c>
      <c r="K59" s="135">
        <f t="shared" si="18"/>
        <v>-541</v>
      </c>
      <c r="L59" s="230"/>
      <c r="N59" s="247"/>
    </row>
    <row r="60" spans="1:16384" s="370" customFormat="1">
      <c r="A60" s="384" t="s">
        <v>159</v>
      </c>
      <c r="B60" s="121" t="s">
        <v>121</v>
      </c>
      <c r="C60" s="268">
        <f>+FireNET.Licensing!E49</f>
        <v>543</v>
      </c>
      <c r="D60" s="107">
        <f>+I60</f>
        <v>403</v>
      </c>
      <c r="E60" s="122">
        <v>0</v>
      </c>
      <c r="F60" s="122">
        <v>0</v>
      </c>
      <c r="G60" s="122">
        <v>0</v>
      </c>
      <c r="H60" s="122">
        <v>0</v>
      </c>
      <c r="I60" s="122">
        <f>+FireNET.Licensing!F49</f>
        <v>403</v>
      </c>
      <c r="J60" s="122">
        <v>0</v>
      </c>
      <c r="K60" s="134">
        <f>SUM(E60:J60)</f>
        <v>403</v>
      </c>
      <c r="L60" s="228">
        <f>(K60*-$M$2)+K60</f>
        <v>403</v>
      </c>
      <c r="N60" s="247"/>
    </row>
    <row r="61" spans="1:16384" s="370" customFormat="1">
      <c r="A61" s="116" t="s">
        <v>150</v>
      </c>
      <c r="B61" s="117"/>
      <c r="C61" s="118"/>
      <c r="D61" s="119"/>
      <c r="E61" s="118">
        <f>-FireNET.Licensing!G48</f>
        <v>-31</v>
      </c>
      <c r="F61" s="118">
        <f>-FireNET.Licensing!H48</f>
        <v>-231</v>
      </c>
      <c r="G61" s="118">
        <f>-FireNET.Licensing!I48</f>
        <v>-52</v>
      </c>
      <c r="H61" s="118">
        <f>-FireNET.Licensing!J48</f>
        <v>-89</v>
      </c>
      <c r="I61" s="118">
        <f>-FireNET.Licensing!K48</f>
        <v>0</v>
      </c>
      <c r="J61" s="118">
        <f>-FireNET.Licensing!L48</f>
        <v>0</v>
      </c>
      <c r="K61" s="135">
        <f>SUM(E61:J61)</f>
        <v>-403</v>
      </c>
      <c r="L61" s="230"/>
      <c r="N61" s="247"/>
    </row>
    <row r="62" spans="1:16384" s="370" customFormat="1">
      <c r="A62" s="137" t="s">
        <v>160</v>
      </c>
      <c r="B62" s="121"/>
      <c r="C62" s="124">
        <f t="shared" ref="C62:J62" si="19">SUM(C44:C61)</f>
        <v>9018.3313999999991</v>
      </c>
      <c r="D62" s="108">
        <f t="shared" si="19"/>
        <v>8126.2911999999997</v>
      </c>
      <c r="E62" s="124">
        <f t="shared" si="19"/>
        <v>-1740.2527600000001</v>
      </c>
      <c r="F62" s="124">
        <f t="shared" si="19"/>
        <v>3638.2108040000003</v>
      </c>
      <c r="G62" s="124">
        <f t="shared" si="19"/>
        <v>-1177.272344</v>
      </c>
      <c r="H62" s="124">
        <f t="shared" si="19"/>
        <v>-1527.8979999999999</v>
      </c>
      <c r="I62" s="124">
        <f t="shared" si="19"/>
        <v>498</v>
      </c>
      <c r="J62" s="124">
        <f t="shared" si="19"/>
        <v>309</v>
      </c>
      <c r="K62" s="134">
        <f>SUM(K44:K59)</f>
        <v>-0.21229999999991378</v>
      </c>
      <c r="L62" s="390"/>
      <c r="N62" s="247"/>
    </row>
    <row r="63" spans="1:16384" s="370" customFormat="1">
      <c r="A63" s="224" t="s">
        <v>135</v>
      </c>
      <c r="B63" s="225"/>
      <c r="C63" s="226"/>
      <c r="D63" s="227"/>
      <c r="E63" s="385">
        <f t="shared" ref="E63:J63" si="20">(E62*-$M$2)+E62</f>
        <v>-1740.2527600000001</v>
      </c>
      <c r="F63" s="386">
        <f t="shared" si="20"/>
        <v>3638.2108040000003</v>
      </c>
      <c r="G63" s="386">
        <f t="shared" si="20"/>
        <v>-1177.272344</v>
      </c>
      <c r="H63" s="386">
        <f t="shared" si="20"/>
        <v>-1527.8979999999999</v>
      </c>
      <c r="I63" s="386">
        <f t="shared" si="20"/>
        <v>498</v>
      </c>
      <c r="J63" s="386">
        <f t="shared" si="20"/>
        <v>309</v>
      </c>
      <c r="K63" s="230">
        <f>SUM(E63:J63)</f>
        <v>-0.21229999999968641</v>
      </c>
      <c r="L63" s="342"/>
      <c r="M63" s="387"/>
      <c r="N63" s="388"/>
      <c r="O63" s="389"/>
      <c r="P63" s="180"/>
      <c r="Q63" s="180"/>
      <c r="R63" s="180"/>
      <c r="S63" s="180"/>
      <c r="T63" s="180"/>
      <c r="U63" s="180"/>
      <c r="V63" s="180"/>
      <c r="W63" s="180"/>
      <c r="X63" s="389"/>
      <c r="Y63" s="387"/>
      <c r="Z63" s="180"/>
      <c r="AA63" s="389"/>
      <c r="AB63" s="389"/>
      <c r="AC63" s="389"/>
      <c r="AD63" s="389"/>
      <c r="AE63" s="389"/>
      <c r="AF63" s="389"/>
      <c r="AG63" s="389"/>
      <c r="AH63" s="389"/>
      <c r="AI63" s="389"/>
      <c r="AJ63" s="389"/>
      <c r="AK63" s="387"/>
      <c r="AL63" s="180"/>
      <c r="AM63" s="389"/>
      <c r="AN63" s="389"/>
      <c r="AO63" s="389"/>
      <c r="AP63" s="389"/>
      <c r="AQ63" s="389"/>
      <c r="AR63" s="389"/>
      <c r="AS63" s="389"/>
      <c r="AT63" s="389"/>
      <c r="AU63" s="389"/>
      <c r="AV63" s="389"/>
      <c r="AW63" s="387"/>
      <c r="AX63" s="180"/>
      <c r="AY63" s="389"/>
      <c r="AZ63" s="389"/>
      <c r="BA63" s="389"/>
      <c r="BB63" s="389"/>
      <c r="BC63" s="389"/>
      <c r="BD63" s="389"/>
      <c r="BE63" s="389"/>
      <c r="BF63" s="389"/>
      <c r="BG63" s="389"/>
      <c r="BH63" s="389"/>
      <c r="BI63" s="387"/>
      <c r="BJ63" s="180"/>
      <c r="BK63" s="389"/>
      <c r="BL63" s="389"/>
      <c r="BM63" s="389"/>
      <c r="BN63" s="389"/>
      <c r="BO63" s="389"/>
      <c r="BP63" s="389"/>
      <c r="BQ63" s="389"/>
      <c r="BR63" s="389"/>
      <c r="BS63" s="389"/>
      <c r="BT63" s="389"/>
      <c r="BU63" s="387"/>
      <c r="BV63" s="180"/>
      <c r="BW63" s="389"/>
      <c r="BX63" s="389"/>
      <c r="BY63" s="389"/>
      <c r="BZ63" s="389"/>
      <c r="CA63" s="389"/>
      <c r="CB63" s="389"/>
      <c r="CC63" s="389"/>
      <c r="CD63" s="389"/>
      <c r="CE63" s="389"/>
      <c r="CF63" s="389"/>
      <c r="CG63" s="387"/>
      <c r="CH63" s="180"/>
      <c r="CI63" s="389"/>
      <c r="CJ63" s="389"/>
      <c r="CK63" s="389"/>
      <c r="CL63" s="389"/>
      <c r="CM63" s="389"/>
      <c r="CN63" s="389"/>
      <c r="CO63" s="389"/>
      <c r="CP63" s="389"/>
      <c r="CQ63" s="389"/>
      <c r="CR63" s="389"/>
      <c r="CS63" s="387"/>
      <c r="CT63" s="180"/>
      <c r="CU63" s="389"/>
      <c r="CV63" s="389"/>
      <c r="CW63" s="389"/>
      <c r="CX63" s="389"/>
      <c r="CY63" s="389"/>
      <c r="CZ63" s="389"/>
      <c r="DA63" s="389"/>
      <c r="DB63" s="389"/>
      <c r="DC63" s="389"/>
      <c r="DD63" s="389"/>
      <c r="DE63" s="387"/>
      <c r="DF63" s="180"/>
      <c r="DG63" s="389"/>
      <c r="DH63" s="389"/>
      <c r="DI63" s="389"/>
      <c r="DJ63" s="389"/>
      <c r="DK63" s="389"/>
      <c r="DL63" s="389"/>
      <c r="DM63" s="389"/>
      <c r="DN63" s="389"/>
      <c r="DO63" s="389"/>
      <c r="DP63" s="389"/>
      <c r="DQ63" s="387"/>
      <c r="DR63" s="180"/>
      <c r="DS63" s="389"/>
      <c r="DT63" s="389"/>
      <c r="DU63" s="389"/>
      <c r="DV63" s="389"/>
      <c r="DW63" s="389"/>
      <c r="DX63" s="389"/>
      <c r="DY63" s="389"/>
      <c r="DZ63" s="389"/>
      <c r="EA63" s="389"/>
      <c r="EB63" s="389"/>
      <c r="EC63" s="387"/>
      <c r="ED63" s="180"/>
      <c r="EE63" s="389"/>
      <c r="EF63" s="389"/>
      <c r="EG63" s="389"/>
      <c r="EH63" s="389"/>
      <c r="EI63" s="389"/>
      <c r="EJ63" s="389"/>
      <c r="EK63" s="389"/>
      <c r="EL63" s="389"/>
      <c r="EM63" s="389"/>
      <c r="EN63" s="389"/>
      <c r="EO63" s="387"/>
      <c r="EP63" s="180"/>
      <c r="EQ63" s="389"/>
      <c r="ER63" s="389"/>
      <c r="ES63" s="389"/>
      <c r="ET63" s="389"/>
      <c r="EU63" s="389"/>
      <c r="EV63" s="389"/>
      <c r="EW63" s="389"/>
      <c r="EX63" s="389"/>
      <c r="EY63" s="389"/>
      <c r="EZ63" s="389"/>
      <c r="FA63" s="387"/>
      <c r="FB63" s="180"/>
      <c r="FC63" s="389"/>
      <c r="FD63" s="389"/>
      <c r="FE63" s="389"/>
      <c r="FF63" s="389"/>
      <c r="FG63" s="389"/>
      <c r="FH63" s="389"/>
      <c r="FI63" s="389"/>
      <c r="FJ63" s="389"/>
      <c r="FK63" s="389"/>
      <c r="FL63" s="389"/>
      <c r="FM63" s="387"/>
      <c r="FN63" s="180"/>
      <c r="FO63" s="389"/>
      <c r="FP63" s="389"/>
      <c r="FQ63" s="389"/>
      <c r="FR63" s="389"/>
      <c r="FS63" s="389"/>
      <c r="FT63" s="389"/>
      <c r="FU63" s="389"/>
      <c r="FV63" s="389"/>
      <c r="FW63" s="389"/>
      <c r="FX63" s="389"/>
      <c r="FY63" s="387"/>
      <c r="FZ63" s="180"/>
      <c r="GA63" s="389"/>
      <c r="GB63" s="389"/>
      <c r="GC63" s="389"/>
      <c r="GD63" s="389"/>
      <c r="GE63" s="389"/>
      <c r="GF63" s="389"/>
      <c r="GG63" s="389"/>
      <c r="GH63" s="389"/>
      <c r="GI63" s="389"/>
      <c r="GJ63" s="389"/>
      <c r="GK63" s="387"/>
      <c r="GL63" s="180"/>
      <c r="GM63" s="389"/>
      <c r="GN63" s="389"/>
      <c r="GO63" s="389"/>
      <c r="GP63" s="389"/>
      <c r="GQ63" s="389"/>
      <c r="GR63" s="389"/>
      <c r="GS63" s="389"/>
      <c r="GT63" s="389"/>
      <c r="GU63" s="389"/>
      <c r="GV63" s="389"/>
      <c r="GW63" s="387"/>
      <c r="GX63" s="180"/>
      <c r="GY63" s="389"/>
      <c r="GZ63" s="389"/>
      <c r="HA63" s="389"/>
      <c r="HB63" s="389"/>
      <c r="HC63" s="389"/>
      <c r="HD63" s="389"/>
      <c r="HE63" s="389"/>
      <c r="HF63" s="389"/>
      <c r="HG63" s="389"/>
      <c r="HH63" s="389"/>
      <c r="HI63" s="387"/>
      <c r="HJ63" s="180"/>
      <c r="HK63" s="389"/>
      <c r="HL63" s="389"/>
      <c r="HM63" s="389"/>
      <c r="HN63" s="389"/>
      <c r="HO63" s="389"/>
      <c r="HP63" s="389"/>
      <c r="HQ63" s="389"/>
      <c r="HR63" s="389"/>
      <c r="HS63" s="389"/>
      <c r="HT63" s="389"/>
      <c r="HU63" s="387"/>
      <c r="HV63" s="180"/>
      <c r="HW63" s="389"/>
      <c r="HX63" s="389"/>
      <c r="HY63" s="389"/>
      <c r="HZ63" s="389"/>
      <c r="IA63" s="389"/>
      <c r="IB63" s="389"/>
      <c r="IC63" s="389"/>
      <c r="ID63" s="389"/>
      <c r="IE63" s="389"/>
      <c r="IF63" s="389"/>
      <c r="IG63" s="387"/>
      <c r="IH63" s="180"/>
      <c r="II63" s="389"/>
      <c r="IJ63" s="389"/>
      <c r="IK63" s="389"/>
      <c r="IL63" s="389"/>
      <c r="IM63" s="389"/>
      <c r="IN63" s="389"/>
      <c r="IO63" s="389"/>
      <c r="IP63" s="389"/>
      <c r="IQ63" s="389"/>
      <c r="IR63" s="389"/>
      <c r="IS63" s="387"/>
      <c r="IT63" s="180"/>
      <c r="IU63" s="389"/>
      <c r="IV63" s="389"/>
      <c r="IW63" s="389"/>
      <c r="IX63" s="389"/>
      <c r="IY63" s="389"/>
      <c r="IZ63" s="389"/>
      <c r="JA63" s="389"/>
      <c r="JB63" s="389"/>
      <c r="JC63" s="389"/>
      <c r="JD63" s="389"/>
      <c r="JE63" s="387"/>
      <c r="JF63" s="180"/>
      <c r="JG63" s="389"/>
      <c r="JH63" s="389"/>
      <c r="JI63" s="389"/>
      <c r="JJ63" s="389"/>
      <c r="JK63" s="389"/>
      <c r="JL63" s="389"/>
      <c r="JM63" s="389"/>
      <c r="JN63" s="389"/>
      <c r="JO63" s="389"/>
      <c r="JP63" s="389"/>
      <c r="JQ63" s="387"/>
      <c r="JR63" s="180"/>
      <c r="JS63" s="389"/>
      <c r="JT63" s="389"/>
      <c r="JU63" s="389"/>
      <c r="JV63" s="389"/>
      <c r="JW63" s="389"/>
      <c r="JX63" s="389"/>
      <c r="JY63" s="389"/>
      <c r="JZ63" s="389"/>
      <c r="KA63" s="389"/>
      <c r="KB63" s="389"/>
      <c r="KC63" s="387"/>
      <c r="KD63" s="180"/>
      <c r="KE63" s="389"/>
      <c r="KF63" s="389"/>
      <c r="KG63" s="389"/>
      <c r="KH63" s="389"/>
      <c r="KI63" s="389"/>
      <c r="KJ63" s="389"/>
      <c r="KK63" s="389"/>
      <c r="KL63" s="389"/>
      <c r="KM63" s="389"/>
      <c r="KN63" s="389"/>
      <c r="KO63" s="387"/>
      <c r="KP63" s="180"/>
      <c r="KQ63" s="389"/>
      <c r="KR63" s="389"/>
      <c r="KS63" s="389"/>
      <c r="KT63" s="389"/>
      <c r="KU63" s="389"/>
      <c r="KV63" s="389"/>
      <c r="KW63" s="389"/>
      <c r="KX63" s="389"/>
      <c r="KY63" s="389"/>
      <c r="KZ63" s="389"/>
      <c r="LA63" s="387"/>
      <c r="LB63" s="180"/>
      <c r="LC63" s="389"/>
      <c r="LD63" s="389"/>
      <c r="LE63" s="389"/>
      <c r="LF63" s="389"/>
      <c r="LG63" s="389"/>
      <c r="LH63" s="389"/>
      <c r="LI63" s="389"/>
      <c r="LJ63" s="389"/>
      <c r="LK63" s="389"/>
      <c r="LL63" s="389"/>
      <c r="LM63" s="387"/>
      <c r="LN63" s="180"/>
      <c r="LO63" s="389"/>
      <c r="LP63" s="389"/>
      <c r="LQ63" s="389"/>
      <c r="LR63" s="389"/>
      <c r="LS63" s="389"/>
      <c r="LT63" s="389"/>
      <c r="LU63" s="389"/>
      <c r="LV63" s="389"/>
      <c r="LW63" s="389"/>
      <c r="LX63" s="389"/>
      <c r="LY63" s="387"/>
      <c r="LZ63" s="180"/>
      <c r="MA63" s="389"/>
      <c r="MB63" s="389"/>
      <c r="MC63" s="389"/>
      <c r="MD63" s="389"/>
      <c r="ME63" s="389"/>
      <c r="MF63" s="389"/>
      <c r="MG63" s="389"/>
      <c r="MH63" s="389"/>
      <c r="MI63" s="389"/>
      <c r="MJ63" s="389"/>
      <c r="MK63" s="387"/>
      <c r="ML63" s="180"/>
      <c r="MM63" s="389"/>
      <c r="MN63" s="389"/>
      <c r="MO63" s="389"/>
      <c r="MP63" s="389"/>
      <c r="MQ63" s="389"/>
      <c r="MR63" s="389"/>
      <c r="MS63" s="389"/>
      <c r="MT63" s="389"/>
      <c r="MU63" s="389"/>
      <c r="MV63" s="389"/>
      <c r="MW63" s="387"/>
      <c r="MX63" s="180"/>
      <c r="MY63" s="389"/>
      <c r="MZ63" s="389"/>
      <c r="NA63" s="389"/>
      <c r="NB63" s="389"/>
      <c r="NC63" s="389"/>
      <c r="ND63" s="389"/>
      <c r="NE63" s="389"/>
      <c r="NF63" s="389"/>
      <c r="NG63" s="389"/>
      <c r="NH63" s="389"/>
      <c r="NI63" s="387"/>
      <c r="NJ63" s="180"/>
      <c r="NK63" s="389"/>
      <c r="NL63" s="389"/>
      <c r="NM63" s="389"/>
      <c r="NN63" s="389"/>
      <c r="NO63" s="389"/>
      <c r="NP63" s="389"/>
      <c r="NQ63" s="389"/>
      <c r="NR63" s="389"/>
      <c r="NS63" s="389"/>
      <c r="NT63" s="389"/>
      <c r="NU63" s="387"/>
      <c r="NV63" s="180"/>
      <c r="NW63" s="389"/>
      <c r="NX63" s="389"/>
      <c r="NY63" s="389"/>
      <c r="NZ63" s="389"/>
      <c r="OA63" s="389"/>
      <c r="OB63" s="389"/>
      <c r="OC63" s="389"/>
      <c r="OD63" s="389"/>
      <c r="OE63" s="389"/>
      <c r="OF63" s="389"/>
      <c r="OG63" s="387"/>
      <c r="OH63" s="180"/>
      <c r="OI63" s="389"/>
      <c r="OJ63" s="389"/>
      <c r="OK63" s="389"/>
      <c r="OL63" s="389"/>
      <c r="OM63" s="389"/>
      <c r="ON63" s="389"/>
      <c r="OO63" s="389"/>
      <c r="OP63" s="389"/>
      <c r="OQ63" s="389"/>
      <c r="OR63" s="389"/>
      <c r="OS63" s="387"/>
      <c r="OT63" s="180"/>
      <c r="OU63" s="389"/>
      <c r="OV63" s="389"/>
      <c r="OW63" s="389"/>
      <c r="OX63" s="389"/>
      <c r="OY63" s="389"/>
      <c r="OZ63" s="389"/>
      <c r="PA63" s="389"/>
      <c r="PB63" s="389"/>
      <c r="PC63" s="389"/>
      <c r="PD63" s="389"/>
      <c r="PE63" s="387"/>
      <c r="PF63" s="180"/>
      <c r="PG63" s="389"/>
      <c r="PH63" s="389"/>
      <c r="PI63" s="389"/>
      <c r="PJ63" s="389"/>
      <c r="PK63" s="389"/>
      <c r="PL63" s="389"/>
      <c r="PM63" s="389"/>
      <c r="PN63" s="389"/>
      <c r="PO63" s="389"/>
      <c r="PP63" s="389"/>
      <c r="PQ63" s="387"/>
      <c r="PR63" s="180"/>
      <c r="PS63" s="389"/>
      <c r="PT63" s="389"/>
      <c r="PU63" s="389"/>
      <c r="PV63" s="389"/>
      <c r="PW63" s="389"/>
      <c r="PX63" s="389"/>
      <c r="PY63" s="389"/>
      <c r="PZ63" s="389"/>
      <c r="QA63" s="389"/>
      <c r="QB63" s="389"/>
      <c r="QC63" s="387"/>
      <c r="QD63" s="180"/>
      <c r="QE63" s="389"/>
      <c r="QF63" s="389"/>
      <c r="QG63" s="389"/>
      <c r="QH63" s="389"/>
      <c r="QI63" s="389"/>
      <c r="QJ63" s="389"/>
      <c r="QK63" s="389"/>
      <c r="QL63" s="389"/>
      <c r="QM63" s="389"/>
      <c r="QN63" s="389"/>
      <c r="QO63" s="387"/>
      <c r="QP63" s="180"/>
      <c r="QQ63" s="389"/>
      <c r="QR63" s="389"/>
      <c r="QS63" s="389"/>
      <c r="QT63" s="389"/>
      <c r="QU63" s="389"/>
      <c r="QV63" s="389"/>
      <c r="QW63" s="389"/>
      <c r="QX63" s="389"/>
      <c r="QY63" s="389"/>
      <c r="QZ63" s="389"/>
      <c r="RA63" s="387"/>
      <c r="RB63" s="180"/>
      <c r="RC63" s="389"/>
      <c r="RD63" s="389"/>
      <c r="RE63" s="389"/>
      <c r="RF63" s="389"/>
      <c r="RG63" s="389"/>
      <c r="RH63" s="389"/>
      <c r="RI63" s="389"/>
      <c r="RJ63" s="389"/>
      <c r="RK63" s="389"/>
      <c r="RL63" s="389"/>
      <c r="RM63" s="387"/>
      <c r="RN63" s="180"/>
      <c r="RO63" s="389"/>
      <c r="RP63" s="389"/>
      <c r="RQ63" s="389"/>
      <c r="RR63" s="389"/>
      <c r="RS63" s="389"/>
      <c r="RT63" s="389"/>
      <c r="RU63" s="389"/>
      <c r="RV63" s="389"/>
      <c r="RW63" s="389"/>
      <c r="RX63" s="389"/>
      <c r="RY63" s="387"/>
      <c r="RZ63" s="180"/>
      <c r="SA63" s="389"/>
      <c r="SB63" s="389"/>
      <c r="SC63" s="389"/>
      <c r="SD63" s="389"/>
      <c r="SE63" s="389"/>
      <c r="SF63" s="389"/>
      <c r="SG63" s="389"/>
      <c r="SH63" s="389"/>
      <c r="SI63" s="389"/>
      <c r="SJ63" s="389"/>
      <c r="SK63" s="387"/>
      <c r="SL63" s="180"/>
      <c r="SM63" s="389"/>
      <c r="SN63" s="389"/>
      <c r="SO63" s="389"/>
      <c r="SP63" s="389"/>
      <c r="SQ63" s="389"/>
      <c r="SR63" s="389"/>
      <c r="SS63" s="389"/>
      <c r="ST63" s="389"/>
      <c r="SU63" s="389"/>
      <c r="SV63" s="389"/>
      <c r="SW63" s="387"/>
      <c r="SX63" s="180"/>
      <c r="SY63" s="389"/>
      <c r="SZ63" s="389"/>
      <c r="TA63" s="389"/>
      <c r="TB63" s="389"/>
      <c r="TC63" s="389"/>
      <c r="TD63" s="389"/>
      <c r="TE63" s="389"/>
      <c r="TF63" s="389"/>
      <c r="TG63" s="389"/>
      <c r="TH63" s="389"/>
      <c r="TI63" s="387"/>
      <c r="TJ63" s="180"/>
      <c r="TK63" s="389"/>
      <c r="TL63" s="389"/>
      <c r="TM63" s="389"/>
      <c r="TN63" s="389"/>
      <c r="TO63" s="389"/>
      <c r="TP63" s="389"/>
      <c r="TQ63" s="389"/>
      <c r="TR63" s="389"/>
      <c r="TS63" s="389"/>
      <c r="TT63" s="389"/>
      <c r="TU63" s="387"/>
      <c r="TV63" s="180"/>
      <c r="TW63" s="389"/>
      <c r="TX63" s="389"/>
      <c r="TY63" s="389"/>
      <c r="TZ63" s="389"/>
      <c r="UA63" s="389"/>
      <c r="UB63" s="389"/>
      <c r="UC63" s="389"/>
      <c r="UD63" s="389"/>
      <c r="UE63" s="389"/>
      <c r="UF63" s="389"/>
      <c r="UG63" s="387"/>
      <c r="UH63" s="180"/>
      <c r="UI63" s="389"/>
      <c r="UJ63" s="389"/>
      <c r="UK63" s="389"/>
      <c r="UL63" s="389"/>
      <c r="UM63" s="389"/>
      <c r="UN63" s="389"/>
      <c r="UO63" s="389"/>
      <c r="UP63" s="389"/>
      <c r="UQ63" s="389"/>
      <c r="UR63" s="389"/>
      <c r="US63" s="387"/>
      <c r="UT63" s="180"/>
      <c r="UU63" s="389"/>
      <c r="UV63" s="389"/>
      <c r="UW63" s="389"/>
      <c r="UX63" s="389"/>
      <c r="UY63" s="389"/>
      <c r="UZ63" s="389"/>
      <c r="VA63" s="389"/>
      <c r="VB63" s="389"/>
      <c r="VC63" s="389"/>
      <c r="VD63" s="389"/>
      <c r="VE63" s="387"/>
      <c r="VF63" s="180"/>
      <c r="VG63" s="389"/>
      <c r="VH63" s="389"/>
      <c r="VI63" s="389"/>
      <c r="VJ63" s="389"/>
      <c r="VK63" s="389"/>
      <c r="VL63" s="389"/>
      <c r="VM63" s="389"/>
      <c r="VN63" s="389"/>
      <c r="VO63" s="389"/>
      <c r="VP63" s="389"/>
      <c r="VQ63" s="387"/>
      <c r="VR63" s="180"/>
      <c r="VS63" s="389"/>
      <c r="VT63" s="389"/>
      <c r="VU63" s="389"/>
      <c r="VV63" s="389"/>
      <c r="VW63" s="389"/>
      <c r="VX63" s="389"/>
      <c r="VY63" s="389"/>
      <c r="VZ63" s="389"/>
      <c r="WA63" s="389"/>
      <c r="WB63" s="389"/>
      <c r="WC63" s="387"/>
      <c r="WD63" s="180"/>
      <c r="WE63" s="389"/>
      <c r="WF63" s="389"/>
      <c r="WG63" s="389"/>
      <c r="WH63" s="389"/>
      <c r="WI63" s="389"/>
      <c r="WJ63" s="389"/>
      <c r="WK63" s="389"/>
      <c r="WL63" s="389"/>
      <c r="WM63" s="389"/>
      <c r="WN63" s="389"/>
      <c r="WO63" s="387"/>
      <c r="WP63" s="180"/>
      <c r="WQ63" s="389"/>
      <c r="WR63" s="389"/>
      <c r="WS63" s="389"/>
      <c r="WT63" s="389"/>
      <c r="WU63" s="389"/>
      <c r="WV63" s="389"/>
      <c r="WW63" s="389"/>
      <c r="WX63" s="389"/>
      <c r="WY63" s="389"/>
      <c r="WZ63" s="389"/>
      <c r="XA63" s="387"/>
      <c r="XB63" s="180"/>
      <c r="XC63" s="389"/>
      <c r="XD63" s="389"/>
      <c r="XE63" s="389"/>
      <c r="XF63" s="389"/>
      <c r="XG63" s="389"/>
      <c r="XH63" s="389"/>
      <c r="XI63" s="389"/>
      <c r="XJ63" s="389"/>
      <c r="XK63" s="389"/>
      <c r="XL63" s="389"/>
      <c r="XM63" s="387"/>
      <c r="XN63" s="180"/>
      <c r="XO63" s="389"/>
      <c r="XP63" s="389"/>
      <c r="XQ63" s="389"/>
      <c r="XR63" s="389"/>
      <c r="XS63" s="389"/>
      <c r="XT63" s="389"/>
      <c r="XU63" s="389"/>
      <c r="XV63" s="389"/>
      <c r="XW63" s="389"/>
      <c r="XX63" s="389"/>
      <c r="XY63" s="387"/>
      <c r="XZ63" s="180"/>
      <c r="YA63" s="389"/>
      <c r="YB63" s="389"/>
      <c r="YC63" s="389"/>
      <c r="YD63" s="389"/>
      <c r="YE63" s="389"/>
      <c r="YF63" s="389"/>
      <c r="YG63" s="389"/>
      <c r="YH63" s="389"/>
      <c r="YI63" s="389"/>
      <c r="YJ63" s="389"/>
      <c r="YK63" s="387"/>
      <c r="YL63" s="180"/>
      <c r="YM63" s="389"/>
      <c r="YN63" s="389"/>
      <c r="YO63" s="389"/>
      <c r="YP63" s="389"/>
      <c r="YQ63" s="389"/>
      <c r="YR63" s="389"/>
      <c r="YS63" s="389"/>
      <c r="YT63" s="389"/>
      <c r="YU63" s="389"/>
      <c r="YV63" s="389"/>
      <c r="YW63" s="387"/>
      <c r="YX63" s="180"/>
      <c r="YY63" s="389"/>
      <c r="YZ63" s="227"/>
      <c r="ZA63" s="228"/>
      <c r="ZB63" s="228"/>
      <c r="ZC63" s="228"/>
      <c r="ZD63" s="228"/>
      <c r="ZE63" s="228"/>
      <c r="ZF63" s="228"/>
      <c r="ZG63" s="226"/>
      <c r="ZH63" s="226"/>
      <c r="ZI63" s="224"/>
      <c r="ZJ63" s="225"/>
      <c r="ZK63" s="226"/>
      <c r="ZL63" s="227"/>
      <c r="ZM63" s="228"/>
      <c r="ZN63" s="228"/>
      <c r="ZO63" s="228"/>
      <c r="ZP63" s="228"/>
      <c r="ZQ63" s="228"/>
      <c r="ZR63" s="228"/>
      <c r="ZS63" s="226"/>
      <c r="ZT63" s="226"/>
      <c r="ZU63" s="224"/>
      <c r="ZV63" s="225"/>
      <c r="ZW63" s="226"/>
      <c r="ZX63" s="227"/>
      <c r="ZY63" s="228"/>
      <c r="ZZ63" s="228"/>
      <c r="AAA63" s="228"/>
      <c r="AAB63" s="228"/>
      <c r="AAC63" s="228"/>
      <c r="AAD63" s="228"/>
      <c r="AAE63" s="226"/>
      <c r="AAF63" s="226"/>
      <c r="AAG63" s="224"/>
      <c r="AAH63" s="225"/>
      <c r="AAI63" s="226"/>
      <c r="AAJ63" s="227"/>
      <c r="AAK63" s="228"/>
      <c r="AAL63" s="228"/>
      <c r="AAM63" s="228"/>
      <c r="AAN63" s="228"/>
      <c r="AAO63" s="228"/>
      <c r="AAP63" s="228"/>
      <c r="AAQ63" s="226"/>
      <c r="AAR63" s="226"/>
      <c r="AAS63" s="224"/>
      <c r="AAT63" s="225"/>
      <c r="AAU63" s="226"/>
      <c r="AAV63" s="227"/>
      <c r="AAW63" s="228"/>
      <c r="AAX63" s="228"/>
      <c r="AAY63" s="228"/>
      <c r="AAZ63" s="228"/>
      <c r="ABA63" s="228"/>
      <c r="ABB63" s="228"/>
      <c r="ABC63" s="226"/>
      <c r="ABD63" s="226"/>
      <c r="ABE63" s="224"/>
      <c r="ABF63" s="225"/>
      <c r="ABG63" s="226"/>
      <c r="ABH63" s="227"/>
      <c r="ABI63" s="228"/>
      <c r="ABJ63" s="228"/>
      <c r="ABK63" s="228"/>
      <c r="ABL63" s="228"/>
      <c r="ABM63" s="228"/>
      <c r="ABN63" s="228"/>
      <c r="ABO63" s="226"/>
      <c r="ABP63" s="226"/>
      <c r="ABQ63" s="224"/>
      <c r="ABR63" s="225"/>
      <c r="ABS63" s="226"/>
      <c r="ABT63" s="227"/>
      <c r="ABU63" s="228"/>
      <c r="ABV63" s="228"/>
      <c r="ABW63" s="228"/>
      <c r="ABX63" s="228"/>
      <c r="ABY63" s="228"/>
      <c r="ABZ63" s="228"/>
      <c r="ACA63" s="226"/>
      <c r="ACB63" s="226"/>
      <c r="ACC63" s="224"/>
      <c r="ACD63" s="225"/>
      <c r="ACE63" s="226"/>
      <c r="ACF63" s="227"/>
      <c r="ACG63" s="228"/>
      <c r="ACH63" s="228"/>
      <c r="ACI63" s="228"/>
      <c r="ACJ63" s="228"/>
      <c r="ACK63" s="228"/>
      <c r="ACL63" s="228"/>
      <c r="ACM63" s="226"/>
      <c r="ACN63" s="226"/>
      <c r="ACO63" s="224"/>
      <c r="ACP63" s="225"/>
      <c r="ACQ63" s="226"/>
      <c r="ACR63" s="227"/>
      <c r="ACS63" s="228"/>
      <c r="ACT63" s="228"/>
      <c r="ACU63" s="228"/>
      <c r="ACV63" s="228"/>
      <c r="ACW63" s="228"/>
      <c r="ACX63" s="228"/>
      <c r="ACY63" s="226"/>
      <c r="ACZ63" s="226"/>
      <c r="ADA63" s="224"/>
      <c r="ADB63" s="225"/>
      <c r="ADC63" s="226"/>
      <c r="ADD63" s="227"/>
      <c r="ADE63" s="228"/>
      <c r="ADF63" s="228"/>
      <c r="ADG63" s="228"/>
      <c r="ADH63" s="228"/>
      <c r="ADI63" s="228"/>
      <c r="ADJ63" s="228"/>
      <c r="ADK63" s="226"/>
      <c r="ADL63" s="226"/>
      <c r="ADM63" s="224"/>
      <c r="ADN63" s="225"/>
      <c r="ADO63" s="226"/>
      <c r="ADP63" s="227"/>
      <c r="ADQ63" s="228"/>
      <c r="ADR63" s="228"/>
      <c r="ADS63" s="228"/>
      <c r="ADT63" s="228"/>
      <c r="ADU63" s="228"/>
      <c r="ADV63" s="228"/>
      <c r="ADW63" s="226"/>
      <c r="ADX63" s="226"/>
      <c r="ADY63" s="224"/>
      <c r="ADZ63" s="225"/>
      <c r="AEA63" s="226"/>
      <c r="AEB63" s="227"/>
      <c r="AEC63" s="228"/>
      <c r="AED63" s="228"/>
      <c r="AEE63" s="228"/>
      <c r="AEF63" s="228"/>
      <c r="AEG63" s="228"/>
      <c r="AEH63" s="228"/>
      <c r="AEI63" s="226"/>
      <c r="AEJ63" s="226"/>
      <c r="AEK63" s="224"/>
      <c r="AEL63" s="225"/>
      <c r="AEM63" s="226"/>
      <c r="AEN63" s="227"/>
      <c r="AEO63" s="228"/>
      <c r="AEP63" s="228"/>
      <c r="AEQ63" s="228"/>
      <c r="AER63" s="228"/>
      <c r="AES63" s="228"/>
      <c r="AET63" s="228"/>
      <c r="AEU63" s="226"/>
      <c r="AEV63" s="226"/>
      <c r="AEW63" s="224"/>
      <c r="AEX63" s="225"/>
      <c r="AEY63" s="226"/>
      <c r="AEZ63" s="227"/>
      <c r="AFA63" s="228"/>
      <c r="AFB63" s="228"/>
      <c r="AFC63" s="228"/>
      <c r="AFD63" s="228"/>
      <c r="AFE63" s="228"/>
      <c r="AFF63" s="228"/>
      <c r="AFG63" s="226"/>
      <c r="AFH63" s="226"/>
      <c r="AFI63" s="224"/>
      <c r="AFJ63" s="225"/>
      <c r="AFK63" s="226"/>
      <c r="AFL63" s="227"/>
      <c r="AFM63" s="228"/>
      <c r="AFN63" s="228"/>
      <c r="AFO63" s="228"/>
      <c r="AFP63" s="228"/>
      <c r="AFQ63" s="228"/>
      <c r="AFR63" s="228"/>
      <c r="AFS63" s="226"/>
      <c r="AFT63" s="226"/>
      <c r="AFU63" s="224"/>
      <c r="AFV63" s="225"/>
      <c r="AFW63" s="226"/>
      <c r="AFX63" s="227"/>
      <c r="AFY63" s="228"/>
      <c r="AFZ63" s="228"/>
      <c r="AGA63" s="228"/>
      <c r="AGB63" s="228"/>
      <c r="AGC63" s="228"/>
      <c r="AGD63" s="228"/>
      <c r="AGE63" s="226"/>
      <c r="AGF63" s="226"/>
      <c r="AGG63" s="224"/>
      <c r="AGH63" s="225"/>
      <c r="AGI63" s="226"/>
      <c r="AGJ63" s="227"/>
      <c r="AGK63" s="228"/>
      <c r="AGL63" s="228"/>
      <c r="AGM63" s="228"/>
      <c r="AGN63" s="228"/>
      <c r="AGO63" s="228"/>
      <c r="AGP63" s="228"/>
      <c r="AGQ63" s="226"/>
      <c r="AGR63" s="226"/>
      <c r="AGS63" s="224"/>
      <c r="AGT63" s="225"/>
      <c r="AGU63" s="226"/>
      <c r="AGV63" s="227"/>
      <c r="AGW63" s="228"/>
      <c r="AGX63" s="228"/>
      <c r="AGY63" s="228"/>
      <c r="AGZ63" s="228"/>
      <c r="AHA63" s="228"/>
      <c r="AHB63" s="228"/>
      <c r="AHC63" s="226"/>
      <c r="AHD63" s="226"/>
      <c r="AHE63" s="224"/>
      <c r="AHF63" s="225"/>
      <c r="AHG63" s="226"/>
      <c r="AHH63" s="227"/>
      <c r="AHI63" s="228"/>
      <c r="AHJ63" s="228"/>
      <c r="AHK63" s="228"/>
      <c r="AHL63" s="228"/>
      <c r="AHM63" s="228"/>
      <c r="AHN63" s="228"/>
      <c r="AHO63" s="226"/>
      <c r="AHP63" s="226"/>
      <c r="AHQ63" s="224"/>
      <c r="AHR63" s="225"/>
      <c r="AHS63" s="226"/>
      <c r="AHT63" s="227"/>
      <c r="AHU63" s="228"/>
      <c r="AHV63" s="228"/>
      <c r="AHW63" s="228"/>
      <c r="AHX63" s="228"/>
      <c r="AHY63" s="228"/>
      <c r="AHZ63" s="228"/>
      <c r="AIA63" s="226"/>
      <c r="AIB63" s="226"/>
      <c r="AIC63" s="224"/>
      <c r="AID63" s="225"/>
      <c r="AIE63" s="226"/>
      <c r="AIF63" s="227"/>
      <c r="AIG63" s="228"/>
      <c r="AIH63" s="228"/>
      <c r="AII63" s="228"/>
      <c r="AIJ63" s="228"/>
      <c r="AIK63" s="228"/>
      <c r="AIL63" s="228"/>
      <c r="AIM63" s="226"/>
      <c r="AIN63" s="226"/>
      <c r="AIO63" s="224"/>
      <c r="AIP63" s="225"/>
      <c r="AIQ63" s="226"/>
      <c r="AIR63" s="227"/>
      <c r="AIS63" s="228"/>
      <c r="AIT63" s="228"/>
      <c r="AIU63" s="228"/>
      <c r="AIV63" s="228"/>
      <c r="AIW63" s="228"/>
      <c r="AIX63" s="228"/>
      <c r="AIY63" s="226"/>
      <c r="AIZ63" s="226"/>
      <c r="AJA63" s="224"/>
      <c r="AJB63" s="225"/>
      <c r="AJC63" s="226"/>
      <c r="AJD63" s="227"/>
      <c r="AJE63" s="228"/>
      <c r="AJF63" s="228"/>
      <c r="AJG63" s="228"/>
      <c r="AJH63" s="228"/>
      <c r="AJI63" s="228"/>
      <c r="AJJ63" s="228"/>
      <c r="AJK63" s="226"/>
      <c r="AJL63" s="226"/>
      <c r="AJM63" s="224"/>
      <c r="AJN63" s="225"/>
      <c r="AJO63" s="226"/>
      <c r="AJP63" s="227"/>
      <c r="AJQ63" s="228"/>
      <c r="AJR63" s="228"/>
      <c r="AJS63" s="228"/>
      <c r="AJT63" s="228"/>
      <c r="AJU63" s="228"/>
      <c r="AJV63" s="228"/>
      <c r="AJW63" s="226"/>
      <c r="AJX63" s="226"/>
      <c r="AJY63" s="224"/>
      <c r="AJZ63" s="225"/>
      <c r="AKA63" s="226"/>
      <c r="AKB63" s="227"/>
      <c r="AKC63" s="228"/>
      <c r="AKD63" s="228"/>
      <c r="AKE63" s="228"/>
      <c r="AKF63" s="228"/>
      <c r="AKG63" s="228"/>
      <c r="AKH63" s="228"/>
      <c r="AKI63" s="226"/>
      <c r="AKJ63" s="226"/>
      <c r="AKK63" s="224"/>
      <c r="AKL63" s="225"/>
      <c r="AKM63" s="226"/>
      <c r="AKN63" s="227"/>
      <c r="AKO63" s="228"/>
      <c r="AKP63" s="228"/>
      <c r="AKQ63" s="228"/>
      <c r="AKR63" s="228"/>
      <c r="AKS63" s="228"/>
      <c r="AKT63" s="228"/>
      <c r="AKU63" s="226"/>
      <c r="AKV63" s="226"/>
      <c r="AKW63" s="224"/>
      <c r="AKX63" s="225"/>
      <c r="AKY63" s="226"/>
      <c r="AKZ63" s="227"/>
      <c r="ALA63" s="228"/>
      <c r="ALB63" s="228"/>
      <c r="ALC63" s="228"/>
      <c r="ALD63" s="228"/>
      <c r="ALE63" s="228"/>
      <c r="ALF63" s="228"/>
      <c r="ALG63" s="226"/>
      <c r="ALH63" s="226"/>
      <c r="ALI63" s="224"/>
      <c r="ALJ63" s="225"/>
      <c r="ALK63" s="226"/>
      <c r="ALL63" s="227"/>
      <c r="ALM63" s="228"/>
      <c r="ALN63" s="228"/>
      <c r="ALO63" s="228"/>
      <c r="ALP63" s="228"/>
      <c r="ALQ63" s="228"/>
      <c r="ALR63" s="228"/>
      <c r="ALS63" s="226"/>
      <c r="ALT63" s="226"/>
      <c r="ALU63" s="224"/>
      <c r="ALV63" s="225"/>
      <c r="ALW63" s="226"/>
      <c r="ALX63" s="227"/>
      <c r="ALY63" s="228"/>
      <c r="ALZ63" s="228"/>
      <c r="AMA63" s="228"/>
      <c r="AMB63" s="228"/>
      <c r="AMC63" s="228"/>
      <c r="AMD63" s="228"/>
      <c r="AME63" s="226"/>
      <c r="AMF63" s="226"/>
      <c r="AMG63" s="224"/>
      <c r="AMH63" s="225"/>
      <c r="AMI63" s="226"/>
      <c r="AMJ63" s="227"/>
      <c r="AMK63" s="228"/>
      <c r="AML63" s="228"/>
      <c r="AMM63" s="228"/>
      <c r="AMN63" s="228"/>
      <c r="AMO63" s="228"/>
      <c r="AMP63" s="228"/>
      <c r="AMQ63" s="226"/>
      <c r="AMR63" s="226"/>
      <c r="AMS63" s="224"/>
      <c r="AMT63" s="225"/>
      <c r="AMU63" s="226"/>
      <c r="AMV63" s="227"/>
      <c r="AMW63" s="228"/>
      <c r="AMX63" s="228"/>
      <c r="AMY63" s="228"/>
      <c r="AMZ63" s="228"/>
      <c r="ANA63" s="228"/>
      <c r="ANB63" s="228"/>
      <c r="ANC63" s="226"/>
      <c r="AND63" s="226"/>
      <c r="ANE63" s="224"/>
      <c r="ANF63" s="225"/>
      <c r="ANG63" s="226"/>
      <c r="ANH63" s="227"/>
      <c r="ANI63" s="228"/>
      <c r="ANJ63" s="228"/>
      <c r="ANK63" s="228"/>
      <c r="ANL63" s="228"/>
      <c r="ANM63" s="228"/>
      <c r="ANN63" s="228"/>
      <c r="ANO63" s="226"/>
      <c r="ANP63" s="226"/>
      <c r="ANQ63" s="224"/>
      <c r="ANR63" s="225"/>
      <c r="ANS63" s="226"/>
      <c r="ANT63" s="227"/>
      <c r="ANU63" s="228"/>
      <c r="ANV63" s="228"/>
      <c r="ANW63" s="228"/>
      <c r="ANX63" s="228"/>
      <c r="ANY63" s="228"/>
      <c r="ANZ63" s="228"/>
      <c r="AOA63" s="226"/>
      <c r="AOB63" s="226"/>
      <c r="AOC63" s="224"/>
      <c r="AOD63" s="225"/>
      <c r="AOE63" s="226"/>
      <c r="AOF63" s="227"/>
      <c r="AOG63" s="228"/>
      <c r="AOH63" s="228"/>
      <c r="AOI63" s="228"/>
      <c r="AOJ63" s="228"/>
      <c r="AOK63" s="228"/>
      <c r="AOL63" s="228"/>
      <c r="AOM63" s="226"/>
      <c r="AON63" s="226"/>
      <c r="AOO63" s="224"/>
      <c r="AOP63" s="225"/>
      <c r="AOQ63" s="226"/>
      <c r="AOR63" s="227"/>
      <c r="AOS63" s="228"/>
      <c r="AOT63" s="228"/>
      <c r="AOU63" s="228"/>
      <c r="AOV63" s="228"/>
      <c r="AOW63" s="228"/>
      <c r="AOX63" s="228"/>
      <c r="AOY63" s="226"/>
      <c r="AOZ63" s="226"/>
      <c r="APA63" s="224"/>
      <c r="APB63" s="225"/>
      <c r="APC63" s="226"/>
      <c r="APD63" s="227"/>
      <c r="APE63" s="228"/>
      <c r="APF63" s="228"/>
      <c r="APG63" s="228"/>
      <c r="APH63" s="228"/>
      <c r="API63" s="228"/>
      <c r="APJ63" s="228"/>
      <c r="APK63" s="226"/>
      <c r="APL63" s="226"/>
      <c r="APM63" s="224"/>
      <c r="APN63" s="225"/>
      <c r="APO63" s="226"/>
      <c r="APP63" s="227"/>
      <c r="APQ63" s="228"/>
      <c r="APR63" s="228"/>
      <c r="APS63" s="228"/>
      <c r="APT63" s="228"/>
      <c r="APU63" s="228"/>
      <c r="APV63" s="228"/>
      <c r="APW63" s="226"/>
      <c r="APX63" s="226"/>
      <c r="APY63" s="224"/>
      <c r="APZ63" s="225"/>
      <c r="AQA63" s="226"/>
      <c r="AQB63" s="227"/>
      <c r="AQC63" s="228"/>
      <c r="AQD63" s="228"/>
      <c r="AQE63" s="228"/>
      <c r="AQF63" s="228"/>
      <c r="AQG63" s="228"/>
      <c r="AQH63" s="228"/>
      <c r="AQI63" s="226"/>
      <c r="AQJ63" s="226"/>
      <c r="AQK63" s="224"/>
      <c r="AQL63" s="225"/>
      <c r="AQM63" s="226"/>
      <c r="AQN63" s="227"/>
      <c r="AQO63" s="228"/>
      <c r="AQP63" s="228"/>
      <c r="AQQ63" s="228"/>
      <c r="AQR63" s="228"/>
      <c r="AQS63" s="228"/>
      <c r="AQT63" s="228"/>
      <c r="AQU63" s="226"/>
      <c r="AQV63" s="226"/>
      <c r="AQW63" s="224"/>
      <c r="AQX63" s="225"/>
      <c r="AQY63" s="226"/>
      <c r="AQZ63" s="227"/>
      <c r="ARA63" s="228"/>
      <c r="ARB63" s="228"/>
      <c r="ARC63" s="228"/>
      <c r="ARD63" s="228"/>
      <c r="ARE63" s="228"/>
      <c r="ARF63" s="228"/>
      <c r="ARG63" s="226"/>
      <c r="ARH63" s="226"/>
      <c r="ARI63" s="224"/>
      <c r="ARJ63" s="225"/>
      <c r="ARK63" s="226"/>
      <c r="ARL63" s="227"/>
      <c r="ARM63" s="228"/>
      <c r="ARN63" s="228"/>
      <c r="ARO63" s="228"/>
      <c r="ARP63" s="228"/>
      <c r="ARQ63" s="228"/>
      <c r="ARR63" s="228"/>
      <c r="ARS63" s="226"/>
      <c r="ART63" s="226"/>
      <c r="ARU63" s="224"/>
      <c r="ARV63" s="225"/>
      <c r="ARW63" s="226"/>
      <c r="ARX63" s="227"/>
      <c r="ARY63" s="228"/>
      <c r="ARZ63" s="228"/>
      <c r="ASA63" s="228"/>
      <c r="ASB63" s="228"/>
      <c r="ASC63" s="228"/>
      <c r="ASD63" s="228"/>
      <c r="ASE63" s="226"/>
      <c r="ASF63" s="226"/>
      <c r="ASG63" s="224"/>
      <c r="ASH63" s="225"/>
      <c r="ASI63" s="226"/>
      <c r="ASJ63" s="227"/>
      <c r="ASK63" s="228"/>
      <c r="ASL63" s="228"/>
      <c r="ASM63" s="228"/>
      <c r="ASN63" s="228"/>
      <c r="ASO63" s="228"/>
      <c r="ASP63" s="228"/>
      <c r="ASQ63" s="226"/>
      <c r="ASR63" s="226"/>
      <c r="ASS63" s="224"/>
      <c r="AST63" s="225"/>
      <c r="ASU63" s="226"/>
      <c r="ASV63" s="227"/>
      <c r="ASW63" s="228"/>
      <c r="ASX63" s="228"/>
      <c r="ASY63" s="228"/>
      <c r="ASZ63" s="228"/>
      <c r="ATA63" s="228"/>
      <c r="ATB63" s="228"/>
      <c r="ATC63" s="226"/>
      <c r="ATD63" s="226"/>
      <c r="ATE63" s="224"/>
      <c r="ATF63" s="225"/>
      <c r="ATG63" s="226"/>
      <c r="ATH63" s="227"/>
      <c r="ATI63" s="228"/>
      <c r="ATJ63" s="228"/>
      <c r="ATK63" s="228"/>
      <c r="ATL63" s="228"/>
      <c r="ATM63" s="228"/>
      <c r="ATN63" s="228"/>
      <c r="ATO63" s="226"/>
      <c r="ATP63" s="226"/>
      <c r="ATQ63" s="224"/>
      <c r="ATR63" s="225"/>
      <c r="ATS63" s="226"/>
      <c r="ATT63" s="227"/>
      <c r="ATU63" s="228"/>
      <c r="ATV63" s="228"/>
      <c r="ATW63" s="228"/>
      <c r="ATX63" s="228"/>
      <c r="ATY63" s="228"/>
      <c r="ATZ63" s="228"/>
      <c r="AUA63" s="226"/>
      <c r="AUB63" s="226"/>
      <c r="AUC63" s="224"/>
      <c r="AUD63" s="225"/>
      <c r="AUE63" s="226"/>
      <c r="AUF63" s="227"/>
      <c r="AUG63" s="228"/>
      <c r="AUH63" s="228"/>
      <c r="AUI63" s="228"/>
      <c r="AUJ63" s="228"/>
      <c r="AUK63" s="228"/>
      <c r="AUL63" s="228"/>
      <c r="AUM63" s="226"/>
      <c r="AUN63" s="226"/>
      <c r="AUO63" s="224"/>
      <c r="AUP63" s="225"/>
      <c r="AUQ63" s="226"/>
      <c r="AUR63" s="227"/>
      <c r="AUS63" s="228"/>
      <c r="AUT63" s="228"/>
      <c r="AUU63" s="228"/>
      <c r="AUV63" s="228"/>
      <c r="AUW63" s="228"/>
      <c r="AUX63" s="228"/>
      <c r="AUY63" s="226"/>
      <c r="AUZ63" s="226"/>
      <c r="AVA63" s="224"/>
      <c r="AVB63" s="225"/>
      <c r="AVC63" s="226"/>
      <c r="AVD63" s="227"/>
      <c r="AVE63" s="228"/>
      <c r="AVF63" s="228"/>
      <c r="AVG63" s="228"/>
      <c r="AVH63" s="228"/>
      <c r="AVI63" s="228"/>
      <c r="AVJ63" s="228"/>
      <c r="AVK63" s="226"/>
      <c r="AVL63" s="226"/>
      <c r="AVM63" s="224"/>
      <c r="AVN63" s="225"/>
      <c r="AVO63" s="226"/>
      <c r="AVP63" s="227"/>
      <c r="AVQ63" s="228"/>
      <c r="AVR63" s="228"/>
      <c r="AVS63" s="228"/>
      <c r="AVT63" s="228"/>
      <c r="AVU63" s="228"/>
      <c r="AVV63" s="228"/>
      <c r="AVW63" s="226"/>
      <c r="AVX63" s="226"/>
      <c r="AVY63" s="224"/>
      <c r="AVZ63" s="225"/>
      <c r="AWA63" s="226"/>
      <c r="AWB63" s="227"/>
      <c r="AWC63" s="228"/>
      <c r="AWD63" s="228"/>
      <c r="AWE63" s="228"/>
      <c r="AWF63" s="228"/>
      <c r="AWG63" s="228"/>
      <c r="AWH63" s="228"/>
      <c r="AWI63" s="226"/>
      <c r="AWJ63" s="226"/>
      <c r="AWK63" s="224"/>
      <c r="AWL63" s="225"/>
      <c r="AWM63" s="226"/>
      <c r="AWN63" s="227"/>
      <c r="AWO63" s="228"/>
      <c r="AWP63" s="228"/>
      <c r="AWQ63" s="228"/>
      <c r="AWR63" s="228"/>
      <c r="AWS63" s="228"/>
      <c r="AWT63" s="228"/>
      <c r="AWU63" s="226"/>
      <c r="AWV63" s="226"/>
      <c r="AWW63" s="224"/>
      <c r="AWX63" s="225"/>
      <c r="AWY63" s="226"/>
      <c r="AWZ63" s="227"/>
      <c r="AXA63" s="228"/>
      <c r="AXB63" s="228"/>
      <c r="AXC63" s="228"/>
      <c r="AXD63" s="228"/>
      <c r="AXE63" s="228"/>
      <c r="AXF63" s="228"/>
      <c r="AXG63" s="226"/>
      <c r="AXH63" s="226"/>
      <c r="AXI63" s="224"/>
      <c r="AXJ63" s="225"/>
      <c r="AXK63" s="226"/>
      <c r="AXL63" s="227"/>
      <c r="AXM63" s="228"/>
      <c r="AXN63" s="228"/>
      <c r="AXO63" s="228"/>
      <c r="AXP63" s="228"/>
      <c r="AXQ63" s="228"/>
      <c r="AXR63" s="228"/>
      <c r="AXS63" s="226"/>
      <c r="AXT63" s="226"/>
      <c r="AXU63" s="224"/>
      <c r="AXV63" s="225"/>
      <c r="AXW63" s="226"/>
      <c r="AXX63" s="227"/>
      <c r="AXY63" s="228"/>
      <c r="AXZ63" s="228"/>
      <c r="AYA63" s="228"/>
      <c r="AYB63" s="228"/>
      <c r="AYC63" s="228"/>
      <c r="AYD63" s="228"/>
      <c r="AYE63" s="226"/>
      <c r="AYF63" s="226"/>
      <c r="AYG63" s="224"/>
      <c r="AYH63" s="225"/>
      <c r="AYI63" s="226"/>
      <c r="AYJ63" s="227"/>
      <c r="AYK63" s="228"/>
      <c r="AYL63" s="228"/>
      <c r="AYM63" s="228"/>
      <c r="AYN63" s="228"/>
      <c r="AYO63" s="228"/>
      <c r="AYP63" s="228"/>
      <c r="AYQ63" s="226"/>
      <c r="AYR63" s="226"/>
      <c r="AYS63" s="224"/>
      <c r="AYT63" s="225"/>
      <c r="AYU63" s="226"/>
      <c r="AYV63" s="227"/>
      <c r="AYW63" s="228"/>
      <c r="AYX63" s="228"/>
      <c r="AYY63" s="228"/>
      <c r="AYZ63" s="228"/>
      <c r="AZA63" s="228"/>
      <c r="AZB63" s="228"/>
      <c r="AZC63" s="226"/>
      <c r="AZD63" s="226"/>
      <c r="AZE63" s="224"/>
      <c r="AZF63" s="225"/>
      <c r="AZG63" s="226"/>
      <c r="AZH63" s="227"/>
      <c r="AZI63" s="228"/>
      <c r="AZJ63" s="228"/>
      <c r="AZK63" s="228"/>
      <c r="AZL63" s="228"/>
      <c r="AZM63" s="228"/>
      <c r="AZN63" s="228"/>
      <c r="AZO63" s="226"/>
      <c r="AZP63" s="226"/>
      <c r="AZQ63" s="224"/>
      <c r="AZR63" s="225"/>
      <c r="AZS63" s="226"/>
      <c r="AZT63" s="227"/>
      <c r="AZU63" s="228"/>
      <c r="AZV63" s="228"/>
      <c r="AZW63" s="228"/>
      <c r="AZX63" s="228"/>
      <c r="AZY63" s="228"/>
      <c r="AZZ63" s="228"/>
      <c r="BAA63" s="226"/>
      <c r="BAB63" s="226"/>
      <c r="BAC63" s="224"/>
      <c r="BAD63" s="225"/>
      <c r="BAE63" s="226"/>
      <c r="BAF63" s="227"/>
      <c r="BAG63" s="228"/>
      <c r="BAH63" s="228"/>
      <c r="BAI63" s="228"/>
      <c r="BAJ63" s="228"/>
      <c r="BAK63" s="228"/>
      <c r="BAL63" s="228"/>
      <c r="BAM63" s="226"/>
      <c r="BAN63" s="226"/>
      <c r="BAO63" s="224"/>
      <c r="BAP63" s="225"/>
      <c r="BAQ63" s="226"/>
      <c r="BAR63" s="227"/>
      <c r="BAS63" s="228"/>
      <c r="BAT63" s="228"/>
      <c r="BAU63" s="228"/>
      <c r="BAV63" s="228"/>
      <c r="BAW63" s="228"/>
      <c r="BAX63" s="228"/>
      <c r="BAY63" s="226"/>
      <c r="BAZ63" s="226"/>
      <c r="BBA63" s="224"/>
      <c r="BBB63" s="225"/>
      <c r="BBC63" s="226"/>
      <c r="BBD63" s="227"/>
      <c r="BBE63" s="228"/>
      <c r="BBF63" s="228"/>
      <c r="BBG63" s="228"/>
      <c r="BBH63" s="228"/>
      <c r="BBI63" s="228"/>
      <c r="BBJ63" s="228"/>
      <c r="BBK63" s="226"/>
      <c r="BBL63" s="226"/>
      <c r="BBM63" s="224"/>
      <c r="BBN63" s="225"/>
      <c r="BBO63" s="226"/>
      <c r="BBP63" s="227"/>
      <c r="BBQ63" s="228"/>
      <c r="BBR63" s="228"/>
      <c r="BBS63" s="228"/>
      <c r="BBT63" s="228"/>
      <c r="BBU63" s="228"/>
      <c r="BBV63" s="228"/>
      <c r="BBW63" s="226"/>
      <c r="BBX63" s="226"/>
      <c r="BBY63" s="224"/>
      <c r="BBZ63" s="225"/>
      <c r="BCA63" s="226"/>
      <c r="BCB63" s="227"/>
      <c r="BCC63" s="228"/>
      <c r="BCD63" s="228"/>
      <c r="BCE63" s="228"/>
      <c r="BCF63" s="228"/>
      <c r="BCG63" s="228"/>
      <c r="BCH63" s="228"/>
      <c r="BCI63" s="226"/>
      <c r="BCJ63" s="226"/>
      <c r="BCK63" s="224"/>
      <c r="BCL63" s="225"/>
      <c r="BCM63" s="226"/>
      <c r="BCN63" s="227"/>
      <c r="BCO63" s="228"/>
      <c r="BCP63" s="228"/>
      <c r="BCQ63" s="228"/>
      <c r="BCR63" s="228"/>
      <c r="BCS63" s="228"/>
      <c r="BCT63" s="228"/>
      <c r="BCU63" s="226"/>
      <c r="BCV63" s="226"/>
      <c r="BCW63" s="224"/>
      <c r="BCX63" s="225"/>
      <c r="BCY63" s="226"/>
      <c r="BCZ63" s="227"/>
      <c r="BDA63" s="228"/>
      <c r="BDB63" s="228"/>
      <c r="BDC63" s="228"/>
      <c r="BDD63" s="228"/>
      <c r="BDE63" s="228"/>
      <c r="BDF63" s="228"/>
      <c r="BDG63" s="226"/>
      <c r="BDH63" s="226"/>
      <c r="BDI63" s="224"/>
      <c r="BDJ63" s="225"/>
      <c r="BDK63" s="226"/>
      <c r="BDL63" s="227"/>
      <c r="BDM63" s="228"/>
      <c r="BDN63" s="228"/>
      <c r="BDO63" s="228"/>
      <c r="BDP63" s="228"/>
      <c r="BDQ63" s="228"/>
      <c r="BDR63" s="228"/>
      <c r="BDS63" s="226"/>
      <c r="BDT63" s="226"/>
      <c r="BDU63" s="224"/>
      <c r="BDV63" s="225"/>
      <c r="BDW63" s="226"/>
      <c r="BDX63" s="227"/>
      <c r="BDY63" s="228"/>
      <c r="BDZ63" s="228"/>
      <c r="BEA63" s="228"/>
      <c r="BEB63" s="228"/>
      <c r="BEC63" s="228"/>
      <c r="BED63" s="228"/>
      <c r="BEE63" s="226"/>
      <c r="BEF63" s="226"/>
      <c r="BEG63" s="224"/>
      <c r="BEH63" s="225"/>
      <c r="BEI63" s="226"/>
      <c r="BEJ63" s="227"/>
      <c r="BEK63" s="228"/>
      <c r="BEL63" s="228"/>
      <c r="BEM63" s="228"/>
      <c r="BEN63" s="228"/>
      <c r="BEO63" s="228"/>
      <c r="BEP63" s="228"/>
      <c r="BEQ63" s="226"/>
      <c r="BER63" s="226"/>
      <c r="BES63" s="224"/>
      <c r="BET63" s="225"/>
      <c r="BEU63" s="226"/>
      <c r="BEV63" s="227"/>
      <c r="BEW63" s="228"/>
      <c r="BEX63" s="228"/>
      <c r="BEY63" s="228"/>
      <c r="BEZ63" s="228"/>
      <c r="BFA63" s="228"/>
      <c r="BFB63" s="228"/>
      <c r="BFC63" s="226"/>
      <c r="BFD63" s="226"/>
      <c r="BFE63" s="224"/>
      <c r="BFF63" s="225"/>
      <c r="BFG63" s="226"/>
      <c r="BFH63" s="227"/>
      <c r="BFI63" s="228"/>
      <c r="BFJ63" s="228"/>
      <c r="BFK63" s="228"/>
      <c r="BFL63" s="228"/>
      <c r="BFM63" s="228"/>
      <c r="BFN63" s="228"/>
      <c r="BFO63" s="226"/>
      <c r="BFP63" s="226"/>
      <c r="BFQ63" s="224"/>
      <c r="BFR63" s="225"/>
      <c r="BFS63" s="226"/>
      <c r="BFT63" s="227"/>
      <c r="BFU63" s="228"/>
      <c r="BFV63" s="228"/>
      <c r="BFW63" s="228"/>
      <c r="BFX63" s="228"/>
      <c r="BFY63" s="228"/>
      <c r="BFZ63" s="228"/>
      <c r="BGA63" s="226"/>
      <c r="BGB63" s="226"/>
      <c r="BGC63" s="224"/>
      <c r="BGD63" s="225"/>
      <c r="BGE63" s="226"/>
      <c r="BGF63" s="227"/>
      <c r="BGG63" s="228"/>
      <c r="BGH63" s="228"/>
      <c r="BGI63" s="228"/>
      <c r="BGJ63" s="228"/>
      <c r="BGK63" s="228"/>
      <c r="BGL63" s="228"/>
      <c r="BGM63" s="226"/>
      <c r="BGN63" s="226"/>
      <c r="BGO63" s="224"/>
      <c r="BGP63" s="225"/>
      <c r="BGQ63" s="226"/>
      <c r="BGR63" s="227"/>
      <c r="BGS63" s="228"/>
      <c r="BGT63" s="228"/>
      <c r="BGU63" s="228"/>
      <c r="BGV63" s="228"/>
      <c r="BGW63" s="228"/>
      <c r="BGX63" s="228"/>
      <c r="BGY63" s="226"/>
      <c r="BGZ63" s="226"/>
      <c r="BHA63" s="224"/>
      <c r="BHB63" s="225"/>
      <c r="BHC63" s="226"/>
      <c r="BHD63" s="227"/>
      <c r="BHE63" s="228"/>
      <c r="BHF63" s="228"/>
      <c r="BHG63" s="228"/>
      <c r="BHH63" s="228"/>
      <c r="BHI63" s="228"/>
      <c r="BHJ63" s="228"/>
      <c r="BHK63" s="226"/>
      <c r="BHL63" s="226"/>
      <c r="BHM63" s="224"/>
      <c r="BHN63" s="225"/>
      <c r="BHO63" s="226"/>
      <c r="BHP63" s="227"/>
      <c r="BHQ63" s="228"/>
      <c r="BHR63" s="228"/>
      <c r="BHS63" s="228"/>
      <c r="BHT63" s="228"/>
      <c r="BHU63" s="228"/>
      <c r="BHV63" s="228"/>
      <c r="BHW63" s="226"/>
      <c r="BHX63" s="226"/>
      <c r="BHY63" s="224"/>
      <c r="BHZ63" s="225"/>
      <c r="BIA63" s="226"/>
      <c r="BIB63" s="227"/>
      <c r="BIC63" s="228"/>
      <c r="BID63" s="228"/>
      <c r="BIE63" s="228"/>
      <c r="BIF63" s="228"/>
      <c r="BIG63" s="228"/>
      <c r="BIH63" s="228"/>
      <c r="BII63" s="226"/>
      <c r="BIJ63" s="226"/>
      <c r="BIK63" s="224"/>
      <c r="BIL63" s="225"/>
      <c r="BIM63" s="226"/>
      <c r="BIN63" s="227"/>
      <c r="BIO63" s="228"/>
      <c r="BIP63" s="228"/>
      <c r="BIQ63" s="228"/>
      <c r="BIR63" s="228"/>
      <c r="BIS63" s="228"/>
      <c r="BIT63" s="228"/>
      <c r="BIU63" s="226"/>
      <c r="BIV63" s="226"/>
      <c r="BIW63" s="224"/>
      <c r="BIX63" s="225"/>
      <c r="BIY63" s="226"/>
      <c r="BIZ63" s="227"/>
      <c r="BJA63" s="228"/>
      <c r="BJB63" s="228"/>
      <c r="BJC63" s="228"/>
      <c r="BJD63" s="228"/>
      <c r="BJE63" s="228"/>
      <c r="BJF63" s="228"/>
      <c r="BJG63" s="226"/>
      <c r="BJH63" s="226"/>
      <c r="BJI63" s="224"/>
      <c r="BJJ63" s="225"/>
      <c r="BJK63" s="226"/>
      <c r="BJL63" s="227"/>
      <c r="BJM63" s="228"/>
      <c r="BJN63" s="228"/>
      <c r="BJO63" s="228"/>
      <c r="BJP63" s="228"/>
      <c r="BJQ63" s="228"/>
      <c r="BJR63" s="228"/>
      <c r="BJS63" s="226"/>
      <c r="BJT63" s="226"/>
      <c r="BJU63" s="224"/>
      <c r="BJV63" s="225"/>
      <c r="BJW63" s="226"/>
      <c r="BJX63" s="227"/>
      <c r="BJY63" s="228"/>
      <c r="BJZ63" s="228"/>
      <c r="BKA63" s="228"/>
      <c r="BKB63" s="228"/>
      <c r="BKC63" s="228"/>
      <c r="BKD63" s="228"/>
      <c r="BKE63" s="226"/>
      <c r="BKF63" s="226"/>
      <c r="BKG63" s="224"/>
      <c r="BKH63" s="225"/>
      <c r="BKI63" s="226"/>
      <c r="BKJ63" s="227"/>
      <c r="BKK63" s="228"/>
      <c r="BKL63" s="228"/>
      <c r="BKM63" s="228"/>
      <c r="BKN63" s="228"/>
      <c r="BKO63" s="228"/>
      <c r="BKP63" s="228"/>
      <c r="BKQ63" s="226"/>
      <c r="BKR63" s="226"/>
      <c r="BKS63" s="224"/>
      <c r="BKT63" s="225"/>
      <c r="BKU63" s="226"/>
      <c r="BKV63" s="227"/>
      <c r="BKW63" s="228"/>
      <c r="BKX63" s="228"/>
      <c r="BKY63" s="228"/>
      <c r="BKZ63" s="228"/>
      <c r="BLA63" s="228"/>
      <c r="BLB63" s="228"/>
      <c r="BLC63" s="226"/>
      <c r="BLD63" s="226"/>
      <c r="BLE63" s="224"/>
      <c r="BLF63" s="225"/>
      <c r="BLG63" s="226"/>
      <c r="BLH63" s="227"/>
      <c r="BLI63" s="228"/>
      <c r="BLJ63" s="228"/>
      <c r="BLK63" s="228"/>
      <c r="BLL63" s="228"/>
      <c r="BLM63" s="228"/>
      <c r="BLN63" s="228"/>
      <c r="BLO63" s="226"/>
      <c r="BLP63" s="226"/>
      <c r="BLQ63" s="224"/>
      <c r="BLR63" s="225"/>
      <c r="BLS63" s="226"/>
      <c r="BLT63" s="227"/>
      <c r="BLU63" s="228"/>
      <c r="BLV63" s="228"/>
      <c r="BLW63" s="228"/>
      <c r="BLX63" s="228"/>
      <c r="BLY63" s="228"/>
      <c r="BLZ63" s="228"/>
      <c r="BMA63" s="226"/>
      <c r="BMB63" s="226"/>
      <c r="BMC63" s="224"/>
      <c r="BMD63" s="225"/>
      <c r="BME63" s="226"/>
      <c r="BMF63" s="227"/>
      <c r="BMG63" s="228"/>
      <c r="BMH63" s="228"/>
      <c r="BMI63" s="228"/>
      <c r="BMJ63" s="228"/>
      <c r="BMK63" s="228"/>
      <c r="BML63" s="228"/>
      <c r="BMM63" s="226"/>
      <c r="BMN63" s="226"/>
      <c r="BMO63" s="224"/>
      <c r="BMP63" s="225"/>
      <c r="BMQ63" s="226"/>
      <c r="BMR63" s="227"/>
      <c r="BMS63" s="228"/>
      <c r="BMT63" s="228"/>
      <c r="BMU63" s="228"/>
      <c r="BMV63" s="228"/>
      <c r="BMW63" s="228"/>
      <c r="BMX63" s="228"/>
      <c r="BMY63" s="226"/>
      <c r="BMZ63" s="226"/>
      <c r="BNA63" s="224"/>
      <c r="BNB63" s="225"/>
      <c r="BNC63" s="226"/>
      <c r="BND63" s="227"/>
      <c r="BNE63" s="228"/>
      <c r="BNF63" s="228"/>
      <c r="BNG63" s="228"/>
      <c r="BNH63" s="228"/>
      <c r="BNI63" s="228"/>
      <c r="BNJ63" s="228"/>
      <c r="BNK63" s="226"/>
      <c r="BNL63" s="226"/>
      <c r="BNM63" s="224"/>
      <c r="BNN63" s="225"/>
      <c r="BNO63" s="226"/>
      <c r="BNP63" s="227"/>
      <c r="BNQ63" s="228"/>
      <c r="BNR63" s="228"/>
      <c r="BNS63" s="228"/>
      <c r="BNT63" s="228"/>
      <c r="BNU63" s="228"/>
      <c r="BNV63" s="228"/>
      <c r="BNW63" s="226"/>
      <c r="BNX63" s="226"/>
      <c r="BNY63" s="224"/>
      <c r="BNZ63" s="225"/>
      <c r="BOA63" s="226"/>
      <c r="BOB63" s="227"/>
      <c r="BOC63" s="228"/>
      <c r="BOD63" s="228"/>
      <c r="BOE63" s="228"/>
      <c r="BOF63" s="228"/>
      <c r="BOG63" s="228"/>
      <c r="BOH63" s="228"/>
      <c r="BOI63" s="226"/>
      <c r="BOJ63" s="226"/>
      <c r="BOK63" s="224"/>
      <c r="BOL63" s="225"/>
      <c r="BOM63" s="226"/>
      <c r="BON63" s="227"/>
      <c r="BOO63" s="228"/>
      <c r="BOP63" s="228"/>
      <c r="BOQ63" s="228"/>
      <c r="BOR63" s="228"/>
      <c r="BOS63" s="228"/>
      <c r="BOT63" s="228"/>
      <c r="BOU63" s="226"/>
      <c r="BOV63" s="226"/>
      <c r="BOW63" s="224"/>
      <c r="BOX63" s="225"/>
      <c r="BOY63" s="226"/>
      <c r="BOZ63" s="227"/>
      <c r="BPA63" s="228"/>
      <c r="BPB63" s="228"/>
      <c r="BPC63" s="228"/>
      <c r="BPD63" s="228"/>
      <c r="BPE63" s="228"/>
      <c r="BPF63" s="228"/>
      <c r="BPG63" s="226"/>
      <c r="BPH63" s="226"/>
      <c r="BPI63" s="224"/>
      <c r="BPJ63" s="225"/>
      <c r="BPK63" s="226"/>
      <c r="BPL63" s="227"/>
      <c r="BPM63" s="228"/>
      <c r="BPN63" s="228"/>
      <c r="BPO63" s="228"/>
      <c r="BPP63" s="228"/>
      <c r="BPQ63" s="228"/>
      <c r="BPR63" s="228"/>
      <c r="BPS63" s="226"/>
      <c r="BPT63" s="226"/>
      <c r="BPU63" s="224"/>
      <c r="BPV63" s="225"/>
      <c r="BPW63" s="226"/>
      <c r="BPX63" s="227"/>
      <c r="BPY63" s="228"/>
      <c r="BPZ63" s="228"/>
      <c r="BQA63" s="228"/>
      <c r="BQB63" s="228"/>
      <c r="BQC63" s="228"/>
      <c r="BQD63" s="228"/>
      <c r="BQE63" s="226"/>
      <c r="BQF63" s="226"/>
      <c r="BQG63" s="224"/>
      <c r="BQH63" s="225"/>
      <c r="BQI63" s="226"/>
      <c r="BQJ63" s="227"/>
      <c r="BQK63" s="228"/>
      <c r="BQL63" s="228"/>
      <c r="BQM63" s="228"/>
      <c r="BQN63" s="228"/>
      <c r="BQO63" s="228"/>
      <c r="BQP63" s="228"/>
      <c r="BQQ63" s="226"/>
      <c r="BQR63" s="226"/>
      <c r="BQS63" s="224"/>
      <c r="BQT63" s="225"/>
      <c r="BQU63" s="226"/>
      <c r="BQV63" s="227"/>
      <c r="BQW63" s="228"/>
      <c r="BQX63" s="228"/>
      <c r="BQY63" s="228"/>
      <c r="BQZ63" s="228"/>
      <c r="BRA63" s="228"/>
      <c r="BRB63" s="228"/>
      <c r="BRC63" s="226"/>
      <c r="BRD63" s="226"/>
      <c r="BRE63" s="224"/>
      <c r="BRF63" s="225"/>
      <c r="BRG63" s="226"/>
      <c r="BRH63" s="227"/>
      <c r="BRI63" s="228"/>
      <c r="BRJ63" s="228"/>
      <c r="BRK63" s="228"/>
      <c r="BRL63" s="228"/>
      <c r="BRM63" s="228"/>
      <c r="BRN63" s="228"/>
      <c r="BRO63" s="226"/>
      <c r="BRP63" s="226"/>
      <c r="BRQ63" s="224"/>
      <c r="BRR63" s="225"/>
      <c r="BRS63" s="226"/>
      <c r="BRT63" s="227"/>
      <c r="BRU63" s="228"/>
      <c r="BRV63" s="228"/>
      <c r="BRW63" s="228"/>
      <c r="BRX63" s="228"/>
      <c r="BRY63" s="228"/>
      <c r="BRZ63" s="228"/>
      <c r="BSA63" s="226"/>
      <c r="BSB63" s="226"/>
      <c r="BSC63" s="224"/>
      <c r="BSD63" s="225"/>
      <c r="BSE63" s="226"/>
      <c r="BSF63" s="227"/>
      <c r="BSG63" s="228"/>
      <c r="BSH63" s="228"/>
      <c r="BSI63" s="228"/>
      <c r="BSJ63" s="228"/>
      <c r="BSK63" s="228"/>
      <c r="BSL63" s="228"/>
      <c r="BSM63" s="226"/>
      <c r="BSN63" s="226"/>
      <c r="BSO63" s="224"/>
      <c r="BSP63" s="225"/>
      <c r="BSQ63" s="226"/>
      <c r="BSR63" s="227"/>
      <c r="BSS63" s="228"/>
      <c r="BST63" s="228"/>
      <c r="BSU63" s="228"/>
      <c r="BSV63" s="228"/>
      <c r="BSW63" s="228"/>
      <c r="BSX63" s="228"/>
      <c r="BSY63" s="226"/>
      <c r="BSZ63" s="226"/>
      <c r="BTA63" s="224"/>
      <c r="BTB63" s="225"/>
      <c r="BTC63" s="226"/>
      <c r="BTD63" s="227"/>
      <c r="BTE63" s="228"/>
      <c r="BTF63" s="228"/>
      <c r="BTG63" s="228"/>
      <c r="BTH63" s="228"/>
      <c r="BTI63" s="228"/>
      <c r="BTJ63" s="228"/>
      <c r="BTK63" s="226"/>
      <c r="BTL63" s="226"/>
      <c r="BTM63" s="224"/>
      <c r="BTN63" s="225"/>
      <c r="BTO63" s="226"/>
      <c r="BTP63" s="227"/>
      <c r="BTQ63" s="228"/>
      <c r="BTR63" s="228"/>
      <c r="BTS63" s="228"/>
      <c r="BTT63" s="228"/>
      <c r="BTU63" s="228"/>
      <c r="BTV63" s="228"/>
      <c r="BTW63" s="226"/>
      <c r="BTX63" s="226"/>
      <c r="BTY63" s="224"/>
      <c r="BTZ63" s="225"/>
      <c r="BUA63" s="226"/>
      <c r="BUB63" s="227"/>
      <c r="BUC63" s="228"/>
      <c r="BUD63" s="228"/>
      <c r="BUE63" s="228"/>
      <c r="BUF63" s="228"/>
      <c r="BUG63" s="228"/>
      <c r="BUH63" s="228"/>
      <c r="BUI63" s="226"/>
      <c r="BUJ63" s="226"/>
      <c r="BUK63" s="224"/>
      <c r="BUL63" s="225"/>
      <c r="BUM63" s="226"/>
      <c r="BUN63" s="227"/>
      <c r="BUO63" s="228"/>
      <c r="BUP63" s="228"/>
      <c r="BUQ63" s="228"/>
      <c r="BUR63" s="228"/>
      <c r="BUS63" s="228"/>
      <c r="BUT63" s="228"/>
      <c r="BUU63" s="226"/>
      <c r="BUV63" s="226"/>
      <c r="BUW63" s="224"/>
      <c r="BUX63" s="225"/>
      <c r="BUY63" s="226"/>
      <c r="BUZ63" s="227"/>
      <c r="BVA63" s="228"/>
      <c r="BVB63" s="228"/>
      <c r="BVC63" s="228"/>
      <c r="BVD63" s="228"/>
      <c r="BVE63" s="228"/>
      <c r="BVF63" s="228"/>
      <c r="BVG63" s="226"/>
      <c r="BVH63" s="226"/>
      <c r="BVI63" s="224"/>
      <c r="BVJ63" s="225"/>
      <c r="BVK63" s="226"/>
      <c r="BVL63" s="227"/>
      <c r="BVM63" s="228"/>
      <c r="BVN63" s="228"/>
      <c r="BVO63" s="228"/>
      <c r="BVP63" s="228"/>
      <c r="BVQ63" s="228"/>
      <c r="BVR63" s="228"/>
      <c r="BVS63" s="226"/>
      <c r="BVT63" s="226"/>
      <c r="BVU63" s="224"/>
      <c r="BVV63" s="225"/>
      <c r="BVW63" s="226"/>
      <c r="BVX63" s="227"/>
      <c r="BVY63" s="228"/>
      <c r="BVZ63" s="228"/>
      <c r="BWA63" s="228"/>
      <c r="BWB63" s="228"/>
      <c r="BWC63" s="228"/>
      <c r="BWD63" s="228"/>
      <c r="BWE63" s="226"/>
      <c r="BWF63" s="226"/>
      <c r="BWG63" s="224"/>
      <c r="BWH63" s="225"/>
      <c r="BWI63" s="226"/>
      <c r="BWJ63" s="227"/>
      <c r="BWK63" s="228"/>
      <c r="BWL63" s="228"/>
      <c r="BWM63" s="228"/>
      <c r="BWN63" s="228"/>
      <c r="BWO63" s="228"/>
      <c r="BWP63" s="228"/>
      <c r="BWQ63" s="226"/>
      <c r="BWR63" s="226"/>
      <c r="BWS63" s="224"/>
      <c r="BWT63" s="225"/>
      <c r="BWU63" s="226"/>
      <c r="BWV63" s="227"/>
      <c r="BWW63" s="228"/>
      <c r="BWX63" s="228"/>
      <c r="BWY63" s="228"/>
      <c r="BWZ63" s="228"/>
      <c r="BXA63" s="228"/>
      <c r="BXB63" s="228"/>
      <c r="BXC63" s="226"/>
      <c r="BXD63" s="226"/>
      <c r="BXE63" s="224"/>
      <c r="BXF63" s="225"/>
      <c r="BXG63" s="226"/>
      <c r="BXH63" s="227"/>
      <c r="BXI63" s="228"/>
      <c r="BXJ63" s="228"/>
      <c r="BXK63" s="228"/>
      <c r="BXL63" s="228"/>
      <c r="BXM63" s="228"/>
      <c r="BXN63" s="228"/>
      <c r="BXO63" s="226"/>
      <c r="BXP63" s="226"/>
      <c r="BXQ63" s="224"/>
      <c r="BXR63" s="225"/>
      <c r="BXS63" s="226"/>
      <c r="BXT63" s="227"/>
      <c r="BXU63" s="228"/>
      <c r="BXV63" s="228"/>
      <c r="BXW63" s="228"/>
      <c r="BXX63" s="228"/>
      <c r="BXY63" s="228"/>
      <c r="BXZ63" s="228"/>
      <c r="BYA63" s="226"/>
      <c r="BYB63" s="226"/>
      <c r="BYC63" s="224"/>
      <c r="BYD63" s="225"/>
      <c r="BYE63" s="226"/>
      <c r="BYF63" s="227"/>
      <c r="BYG63" s="228"/>
      <c r="BYH63" s="228"/>
      <c r="BYI63" s="228"/>
      <c r="BYJ63" s="228"/>
      <c r="BYK63" s="228"/>
      <c r="BYL63" s="228"/>
      <c r="BYM63" s="226"/>
      <c r="BYN63" s="226"/>
      <c r="BYO63" s="224"/>
      <c r="BYP63" s="225"/>
      <c r="BYQ63" s="226"/>
      <c r="BYR63" s="227"/>
      <c r="BYS63" s="228"/>
      <c r="BYT63" s="228"/>
      <c r="BYU63" s="228"/>
      <c r="BYV63" s="228"/>
      <c r="BYW63" s="228"/>
      <c r="BYX63" s="228"/>
      <c r="BYY63" s="226"/>
      <c r="BYZ63" s="226"/>
      <c r="BZA63" s="224"/>
      <c r="BZB63" s="225"/>
      <c r="BZC63" s="226"/>
      <c r="BZD63" s="227"/>
      <c r="BZE63" s="228"/>
      <c r="BZF63" s="228"/>
      <c r="BZG63" s="228"/>
      <c r="BZH63" s="228"/>
      <c r="BZI63" s="228"/>
      <c r="BZJ63" s="228"/>
      <c r="BZK63" s="226"/>
      <c r="BZL63" s="226"/>
      <c r="BZM63" s="224"/>
      <c r="BZN63" s="225"/>
      <c r="BZO63" s="226"/>
      <c r="BZP63" s="227"/>
      <c r="BZQ63" s="228"/>
      <c r="BZR63" s="228"/>
      <c r="BZS63" s="228"/>
      <c r="BZT63" s="228"/>
      <c r="BZU63" s="228"/>
      <c r="BZV63" s="228"/>
      <c r="BZW63" s="226"/>
      <c r="BZX63" s="226"/>
      <c r="BZY63" s="224"/>
      <c r="BZZ63" s="225"/>
      <c r="CAA63" s="226"/>
      <c r="CAB63" s="227"/>
      <c r="CAC63" s="228"/>
      <c r="CAD63" s="228"/>
      <c r="CAE63" s="228"/>
      <c r="CAF63" s="228"/>
      <c r="CAG63" s="228"/>
      <c r="CAH63" s="228"/>
      <c r="CAI63" s="226"/>
      <c r="CAJ63" s="226"/>
      <c r="CAK63" s="224"/>
      <c r="CAL63" s="225"/>
      <c r="CAM63" s="226"/>
      <c r="CAN63" s="227"/>
      <c r="CAO63" s="228"/>
      <c r="CAP63" s="228"/>
      <c r="CAQ63" s="228"/>
      <c r="CAR63" s="228"/>
      <c r="CAS63" s="228"/>
      <c r="CAT63" s="228"/>
      <c r="CAU63" s="226"/>
      <c r="CAV63" s="226"/>
      <c r="CAW63" s="224"/>
      <c r="CAX63" s="225"/>
      <c r="CAY63" s="226"/>
      <c r="CAZ63" s="227"/>
      <c r="CBA63" s="228"/>
      <c r="CBB63" s="228"/>
      <c r="CBC63" s="228"/>
      <c r="CBD63" s="228"/>
      <c r="CBE63" s="228"/>
      <c r="CBF63" s="228"/>
      <c r="CBG63" s="226"/>
      <c r="CBH63" s="226"/>
      <c r="CBI63" s="224"/>
      <c r="CBJ63" s="225"/>
      <c r="CBK63" s="226"/>
      <c r="CBL63" s="227"/>
      <c r="CBM63" s="228"/>
      <c r="CBN63" s="228"/>
      <c r="CBO63" s="228"/>
      <c r="CBP63" s="228"/>
      <c r="CBQ63" s="228"/>
      <c r="CBR63" s="228"/>
      <c r="CBS63" s="226"/>
      <c r="CBT63" s="226"/>
      <c r="CBU63" s="224"/>
      <c r="CBV63" s="225"/>
      <c r="CBW63" s="226"/>
      <c r="CBX63" s="227"/>
      <c r="CBY63" s="228"/>
      <c r="CBZ63" s="228"/>
      <c r="CCA63" s="228"/>
      <c r="CCB63" s="228"/>
      <c r="CCC63" s="228"/>
      <c r="CCD63" s="228"/>
      <c r="CCE63" s="226"/>
      <c r="CCF63" s="226"/>
      <c r="CCG63" s="224"/>
      <c r="CCH63" s="225"/>
      <c r="CCI63" s="226"/>
      <c r="CCJ63" s="227"/>
      <c r="CCK63" s="228"/>
      <c r="CCL63" s="228"/>
      <c r="CCM63" s="228"/>
      <c r="CCN63" s="228"/>
      <c r="CCO63" s="228"/>
      <c r="CCP63" s="228"/>
      <c r="CCQ63" s="226"/>
      <c r="CCR63" s="226"/>
      <c r="CCS63" s="224"/>
      <c r="CCT63" s="225"/>
      <c r="CCU63" s="226"/>
      <c r="CCV63" s="227"/>
      <c r="CCW63" s="228"/>
      <c r="CCX63" s="228"/>
      <c r="CCY63" s="228"/>
      <c r="CCZ63" s="228"/>
      <c r="CDA63" s="228"/>
      <c r="CDB63" s="228"/>
      <c r="CDC63" s="226"/>
      <c r="CDD63" s="226"/>
      <c r="CDE63" s="224"/>
      <c r="CDF63" s="225"/>
      <c r="CDG63" s="226"/>
      <c r="CDH63" s="227"/>
      <c r="CDI63" s="228"/>
      <c r="CDJ63" s="228"/>
      <c r="CDK63" s="228"/>
      <c r="CDL63" s="228"/>
      <c r="CDM63" s="228"/>
      <c r="CDN63" s="228"/>
      <c r="CDO63" s="226"/>
      <c r="CDP63" s="226"/>
      <c r="CDQ63" s="224"/>
      <c r="CDR63" s="225"/>
      <c r="CDS63" s="226"/>
      <c r="CDT63" s="227"/>
      <c r="CDU63" s="228"/>
      <c r="CDV63" s="228"/>
      <c r="CDW63" s="228"/>
      <c r="CDX63" s="228"/>
      <c r="CDY63" s="228"/>
      <c r="CDZ63" s="228"/>
      <c r="CEA63" s="226"/>
      <c r="CEB63" s="226"/>
      <c r="CEC63" s="224"/>
      <c r="CED63" s="225"/>
      <c r="CEE63" s="226"/>
      <c r="CEF63" s="227"/>
      <c r="CEG63" s="228"/>
      <c r="CEH63" s="228"/>
      <c r="CEI63" s="228"/>
      <c r="CEJ63" s="228"/>
      <c r="CEK63" s="228"/>
      <c r="CEL63" s="228"/>
      <c r="CEM63" s="226"/>
      <c r="CEN63" s="226"/>
      <c r="CEO63" s="224"/>
      <c r="CEP63" s="225"/>
      <c r="CEQ63" s="226"/>
      <c r="CER63" s="227"/>
      <c r="CES63" s="228"/>
      <c r="CET63" s="228"/>
      <c r="CEU63" s="228"/>
      <c r="CEV63" s="228"/>
      <c r="CEW63" s="228"/>
      <c r="CEX63" s="228"/>
      <c r="CEY63" s="226"/>
      <c r="CEZ63" s="226"/>
      <c r="CFA63" s="224"/>
      <c r="CFB63" s="225"/>
      <c r="CFC63" s="226"/>
      <c r="CFD63" s="227"/>
      <c r="CFE63" s="228"/>
      <c r="CFF63" s="228"/>
      <c r="CFG63" s="228"/>
      <c r="CFH63" s="228"/>
      <c r="CFI63" s="228"/>
      <c r="CFJ63" s="228"/>
      <c r="CFK63" s="226"/>
      <c r="CFL63" s="226"/>
      <c r="CFM63" s="224"/>
      <c r="CFN63" s="225"/>
      <c r="CFO63" s="226"/>
      <c r="CFP63" s="227"/>
      <c r="CFQ63" s="228"/>
      <c r="CFR63" s="228"/>
      <c r="CFS63" s="228"/>
      <c r="CFT63" s="228"/>
      <c r="CFU63" s="228"/>
      <c r="CFV63" s="228"/>
      <c r="CFW63" s="226"/>
      <c r="CFX63" s="226"/>
      <c r="CFY63" s="224"/>
      <c r="CFZ63" s="225"/>
      <c r="CGA63" s="226"/>
      <c r="CGB63" s="227"/>
      <c r="CGC63" s="228"/>
      <c r="CGD63" s="228"/>
      <c r="CGE63" s="228"/>
      <c r="CGF63" s="228"/>
      <c r="CGG63" s="228"/>
      <c r="CGH63" s="228"/>
      <c r="CGI63" s="226"/>
      <c r="CGJ63" s="226"/>
      <c r="CGK63" s="224"/>
      <c r="CGL63" s="225"/>
      <c r="CGM63" s="226"/>
      <c r="CGN63" s="227"/>
      <c r="CGO63" s="228"/>
      <c r="CGP63" s="228"/>
      <c r="CGQ63" s="228"/>
      <c r="CGR63" s="228"/>
      <c r="CGS63" s="228"/>
      <c r="CGT63" s="228"/>
      <c r="CGU63" s="226"/>
      <c r="CGV63" s="226"/>
      <c r="CGW63" s="224"/>
      <c r="CGX63" s="225"/>
      <c r="CGY63" s="226"/>
      <c r="CGZ63" s="227"/>
      <c r="CHA63" s="228"/>
      <c r="CHB63" s="228"/>
      <c r="CHC63" s="228"/>
      <c r="CHD63" s="228"/>
      <c r="CHE63" s="228"/>
      <c r="CHF63" s="228"/>
      <c r="CHG63" s="226"/>
      <c r="CHH63" s="226"/>
      <c r="CHI63" s="224"/>
      <c r="CHJ63" s="225"/>
      <c r="CHK63" s="226"/>
      <c r="CHL63" s="227"/>
      <c r="CHM63" s="228"/>
      <c r="CHN63" s="228"/>
      <c r="CHO63" s="228"/>
      <c r="CHP63" s="228"/>
      <c r="CHQ63" s="228"/>
      <c r="CHR63" s="228"/>
      <c r="CHS63" s="226"/>
      <c r="CHT63" s="226"/>
      <c r="CHU63" s="224"/>
      <c r="CHV63" s="225"/>
      <c r="CHW63" s="226"/>
      <c r="CHX63" s="227"/>
      <c r="CHY63" s="228"/>
      <c r="CHZ63" s="228"/>
      <c r="CIA63" s="228"/>
      <c r="CIB63" s="228"/>
      <c r="CIC63" s="228"/>
      <c r="CID63" s="228"/>
      <c r="CIE63" s="226"/>
      <c r="CIF63" s="226"/>
      <c r="CIG63" s="224"/>
      <c r="CIH63" s="225"/>
      <c r="CII63" s="226"/>
      <c r="CIJ63" s="227"/>
      <c r="CIK63" s="228"/>
      <c r="CIL63" s="228"/>
      <c r="CIM63" s="228"/>
      <c r="CIN63" s="228"/>
      <c r="CIO63" s="228"/>
      <c r="CIP63" s="228"/>
      <c r="CIQ63" s="226"/>
      <c r="CIR63" s="226"/>
      <c r="CIS63" s="224"/>
      <c r="CIT63" s="225"/>
      <c r="CIU63" s="226"/>
      <c r="CIV63" s="227"/>
      <c r="CIW63" s="228"/>
      <c r="CIX63" s="228"/>
      <c r="CIY63" s="228"/>
      <c r="CIZ63" s="228"/>
      <c r="CJA63" s="228"/>
      <c r="CJB63" s="228"/>
      <c r="CJC63" s="226"/>
      <c r="CJD63" s="226"/>
      <c r="CJE63" s="224"/>
      <c r="CJF63" s="225"/>
      <c r="CJG63" s="226"/>
      <c r="CJH63" s="227"/>
      <c r="CJI63" s="228"/>
      <c r="CJJ63" s="228"/>
      <c r="CJK63" s="228"/>
      <c r="CJL63" s="228"/>
      <c r="CJM63" s="228"/>
      <c r="CJN63" s="228"/>
      <c r="CJO63" s="226"/>
      <c r="CJP63" s="226"/>
      <c r="CJQ63" s="224"/>
      <c r="CJR63" s="225"/>
      <c r="CJS63" s="226"/>
      <c r="CJT63" s="227"/>
      <c r="CJU63" s="228"/>
      <c r="CJV63" s="228"/>
      <c r="CJW63" s="228"/>
      <c r="CJX63" s="228"/>
      <c r="CJY63" s="228"/>
      <c r="CJZ63" s="228"/>
      <c r="CKA63" s="226"/>
      <c r="CKB63" s="226"/>
      <c r="CKC63" s="224"/>
      <c r="CKD63" s="225"/>
      <c r="CKE63" s="226"/>
      <c r="CKF63" s="227"/>
      <c r="CKG63" s="228"/>
      <c r="CKH63" s="228"/>
      <c r="CKI63" s="228"/>
      <c r="CKJ63" s="228"/>
      <c r="CKK63" s="228"/>
      <c r="CKL63" s="228"/>
      <c r="CKM63" s="226"/>
      <c r="CKN63" s="226"/>
      <c r="CKO63" s="224"/>
      <c r="CKP63" s="225"/>
      <c r="CKQ63" s="226"/>
      <c r="CKR63" s="227"/>
      <c r="CKS63" s="228"/>
      <c r="CKT63" s="228"/>
      <c r="CKU63" s="228"/>
      <c r="CKV63" s="228"/>
      <c r="CKW63" s="228"/>
      <c r="CKX63" s="228"/>
      <c r="CKY63" s="226"/>
      <c r="CKZ63" s="226"/>
      <c r="CLA63" s="224"/>
      <c r="CLB63" s="225"/>
      <c r="CLC63" s="226"/>
      <c r="CLD63" s="227"/>
      <c r="CLE63" s="228"/>
      <c r="CLF63" s="228"/>
      <c r="CLG63" s="228"/>
      <c r="CLH63" s="228"/>
      <c r="CLI63" s="228"/>
      <c r="CLJ63" s="228"/>
      <c r="CLK63" s="226"/>
      <c r="CLL63" s="226"/>
      <c r="CLM63" s="224"/>
      <c r="CLN63" s="225"/>
      <c r="CLO63" s="226"/>
      <c r="CLP63" s="227"/>
      <c r="CLQ63" s="228"/>
      <c r="CLR63" s="228"/>
      <c r="CLS63" s="228"/>
      <c r="CLT63" s="228"/>
      <c r="CLU63" s="228"/>
      <c r="CLV63" s="228"/>
      <c r="CLW63" s="226"/>
      <c r="CLX63" s="226"/>
      <c r="CLY63" s="224"/>
      <c r="CLZ63" s="225"/>
      <c r="CMA63" s="226"/>
      <c r="CMB63" s="227"/>
      <c r="CMC63" s="228"/>
      <c r="CMD63" s="228"/>
      <c r="CME63" s="228"/>
      <c r="CMF63" s="228"/>
      <c r="CMG63" s="228"/>
      <c r="CMH63" s="228"/>
      <c r="CMI63" s="226"/>
      <c r="CMJ63" s="226"/>
      <c r="CMK63" s="224"/>
      <c r="CML63" s="225"/>
      <c r="CMM63" s="226"/>
      <c r="CMN63" s="227"/>
      <c r="CMO63" s="228"/>
      <c r="CMP63" s="228"/>
      <c r="CMQ63" s="228"/>
      <c r="CMR63" s="228"/>
      <c r="CMS63" s="228"/>
      <c r="CMT63" s="228"/>
      <c r="CMU63" s="226"/>
      <c r="CMV63" s="226"/>
      <c r="CMW63" s="224"/>
      <c r="CMX63" s="225"/>
      <c r="CMY63" s="226"/>
      <c r="CMZ63" s="227"/>
      <c r="CNA63" s="228"/>
      <c r="CNB63" s="228"/>
      <c r="CNC63" s="228"/>
      <c r="CND63" s="228"/>
      <c r="CNE63" s="228"/>
      <c r="CNF63" s="228"/>
      <c r="CNG63" s="226"/>
      <c r="CNH63" s="226"/>
      <c r="CNI63" s="224"/>
      <c r="CNJ63" s="225"/>
      <c r="CNK63" s="226"/>
      <c r="CNL63" s="227"/>
      <c r="CNM63" s="228"/>
      <c r="CNN63" s="228"/>
      <c r="CNO63" s="228"/>
      <c r="CNP63" s="228"/>
      <c r="CNQ63" s="228"/>
      <c r="CNR63" s="228"/>
      <c r="CNS63" s="226"/>
      <c r="CNT63" s="226"/>
      <c r="CNU63" s="224"/>
      <c r="CNV63" s="225"/>
      <c r="CNW63" s="226"/>
      <c r="CNX63" s="227"/>
      <c r="CNY63" s="228"/>
      <c r="CNZ63" s="228"/>
      <c r="COA63" s="228"/>
      <c r="COB63" s="228"/>
      <c r="COC63" s="228"/>
      <c r="COD63" s="228"/>
      <c r="COE63" s="226"/>
      <c r="COF63" s="226"/>
      <c r="COG63" s="224"/>
      <c r="COH63" s="225"/>
      <c r="COI63" s="226"/>
      <c r="COJ63" s="227"/>
      <c r="COK63" s="228"/>
      <c r="COL63" s="228"/>
      <c r="COM63" s="228"/>
      <c r="CON63" s="228"/>
      <c r="COO63" s="228"/>
      <c r="COP63" s="228"/>
      <c r="COQ63" s="226"/>
      <c r="COR63" s="226"/>
      <c r="COS63" s="224"/>
      <c r="COT63" s="225"/>
      <c r="COU63" s="226"/>
      <c r="COV63" s="227"/>
      <c r="COW63" s="228"/>
      <c r="COX63" s="228"/>
      <c r="COY63" s="228"/>
      <c r="COZ63" s="228"/>
      <c r="CPA63" s="228"/>
      <c r="CPB63" s="228"/>
      <c r="CPC63" s="226"/>
      <c r="CPD63" s="226"/>
      <c r="CPE63" s="224"/>
      <c r="CPF63" s="225"/>
      <c r="CPG63" s="226"/>
      <c r="CPH63" s="227"/>
      <c r="CPI63" s="228"/>
      <c r="CPJ63" s="228"/>
      <c r="CPK63" s="228"/>
      <c r="CPL63" s="228"/>
      <c r="CPM63" s="228"/>
      <c r="CPN63" s="228"/>
      <c r="CPO63" s="226"/>
      <c r="CPP63" s="226"/>
      <c r="CPQ63" s="224"/>
      <c r="CPR63" s="225"/>
      <c r="CPS63" s="226"/>
      <c r="CPT63" s="227"/>
      <c r="CPU63" s="228"/>
      <c r="CPV63" s="228"/>
      <c r="CPW63" s="228"/>
      <c r="CPX63" s="228"/>
      <c r="CPY63" s="228"/>
      <c r="CPZ63" s="228"/>
      <c r="CQA63" s="226"/>
      <c r="CQB63" s="226"/>
      <c r="CQC63" s="224"/>
      <c r="CQD63" s="225"/>
      <c r="CQE63" s="226"/>
      <c r="CQF63" s="227"/>
      <c r="CQG63" s="228"/>
      <c r="CQH63" s="228"/>
      <c r="CQI63" s="228"/>
      <c r="CQJ63" s="228"/>
      <c r="CQK63" s="228"/>
      <c r="CQL63" s="228"/>
      <c r="CQM63" s="226"/>
      <c r="CQN63" s="226"/>
      <c r="CQO63" s="224"/>
      <c r="CQP63" s="225"/>
      <c r="CQQ63" s="226"/>
      <c r="CQR63" s="227"/>
      <c r="CQS63" s="228"/>
      <c r="CQT63" s="228"/>
      <c r="CQU63" s="228"/>
      <c r="CQV63" s="228"/>
      <c r="CQW63" s="228"/>
      <c r="CQX63" s="228"/>
      <c r="CQY63" s="226"/>
      <c r="CQZ63" s="226"/>
      <c r="CRA63" s="224"/>
      <c r="CRB63" s="225"/>
      <c r="CRC63" s="226"/>
      <c r="CRD63" s="227"/>
      <c r="CRE63" s="228"/>
      <c r="CRF63" s="228"/>
      <c r="CRG63" s="228"/>
      <c r="CRH63" s="228"/>
      <c r="CRI63" s="228"/>
      <c r="CRJ63" s="228"/>
      <c r="CRK63" s="226"/>
      <c r="CRL63" s="226"/>
      <c r="CRM63" s="224"/>
      <c r="CRN63" s="225"/>
      <c r="CRO63" s="226"/>
      <c r="CRP63" s="227"/>
      <c r="CRQ63" s="228"/>
      <c r="CRR63" s="228"/>
      <c r="CRS63" s="228"/>
      <c r="CRT63" s="228"/>
      <c r="CRU63" s="228"/>
      <c r="CRV63" s="228"/>
      <c r="CRW63" s="226"/>
      <c r="CRX63" s="226"/>
      <c r="CRY63" s="224"/>
      <c r="CRZ63" s="225"/>
      <c r="CSA63" s="226"/>
      <c r="CSB63" s="227"/>
      <c r="CSC63" s="228"/>
      <c r="CSD63" s="228"/>
      <c r="CSE63" s="228"/>
      <c r="CSF63" s="228"/>
      <c r="CSG63" s="228"/>
      <c r="CSH63" s="228"/>
      <c r="CSI63" s="226"/>
      <c r="CSJ63" s="226"/>
      <c r="CSK63" s="224"/>
      <c r="CSL63" s="225"/>
      <c r="CSM63" s="226"/>
      <c r="CSN63" s="227"/>
      <c r="CSO63" s="228"/>
      <c r="CSP63" s="228"/>
      <c r="CSQ63" s="228"/>
      <c r="CSR63" s="228"/>
      <c r="CSS63" s="228"/>
      <c r="CST63" s="228"/>
      <c r="CSU63" s="226"/>
      <c r="CSV63" s="226"/>
      <c r="CSW63" s="224"/>
      <c r="CSX63" s="225"/>
      <c r="CSY63" s="226"/>
      <c r="CSZ63" s="227"/>
      <c r="CTA63" s="228"/>
      <c r="CTB63" s="228"/>
      <c r="CTC63" s="228"/>
      <c r="CTD63" s="228"/>
      <c r="CTE63" s="228"/>
      <c r="CTF63" s="228"/>
      <c r="CTG63" s="226"/>
      <c r="CTH63" s="226"/>
      <c r="CTI63" s="224"/>
      <c r="CTJ63" s="225"/>
      <c r="CTK63" s="226"/>
      <c r="CTL63" s="227"/>
      <c r="CTM63" s="228"/>
      <c r="CTN63" s="228"/>
      <c r="CTO63" s="228"/>
      <c r="CTP63" s="228"/>
      <c r="CTQ63" s="228"/>
      <c r="CTR63" s="228"/>
      <c r="CTS63" s="226"/>
      <c r="CTT63" s="226"/>
      <c r="CTU63" s="224"/>
      <c r="CTV63" s="225"/>
      <c r="CTW63" s="226"/>
      <c r="CTX63" s="227"/>
      <c r="CTY63" s="228"/>
      <c r="CTZ63" s="228"/>
      <c r="CUA63" s="228"/>
      <c r="CUB63" s="228"/>
      <c r="CUC63" s="228"/>
      <c r="CUD63" s="228"/>
      <c r="CUE63" s="226"/>
      <c r="CUF63" s="226"/>
      <c r="CUG63" s="224"/>
      <c r="CUH63" s="225"/>
      <c r="CUI63" s="226"/>
      <c r="CUJ63" s="227"/>
      <c r="CUK63" s="228"/>
      <c r="CUL63" s="228"/>
      <c r="CUM63" s="228"/>
      <c r="CUN63" s="228"/>
      <c r="CUO63" s="228"/>
      <c r="CUP63" s="228"/>
      <c r="CUQ63" s="226"/>
      <c r="CUR63" s="226"/>
      <c r="CUS63" s="224"/>
      <c r="CUT63" s="225"/>
      <c r="CUU63" s="226"/>
      <c r="CUV63" s="227"/>
      <c r="CUW63" s="228"/>
      <c r="CUX63" s="228"/>
      <c r="CUY63" s="228"/>
      <c r="CUZ63" s="228"/>
      <c r="CVA63" s="228"/>
      <c r="CVB63" s="228"/>
      <c r="CVC63" s="226"/>
      <c r="CVD63" s="226"/>
      <c r="CVE63" s="224"/>
      <c r="CVF63" s="225"/>
      <c r="CVG63" s="226"/>
      <c r="CVH63" s="227"/>
      <c r="CVI63" s="228"/>
      <c r="CVJ63" s="228"/>
      <c r="CVK63" s="228"/>
      <c r="CVL63" s="228"/>
      <c r="CVM63" s="228"/>
      <c r="CVN63" s="228"/>
      <c r="CVO63" s="226"/>
      <c r="CVP63" s="226"/>
      <c r="CVQ63" s="224"/>
      <c r="CVR63" s="225"/>
      <c r="CVS63" s="226"/>
      <c r="CVT63" s="227"/>
      <c r="CVU63" s="228"/>
      <c r="CVV63" s="228"/>
      <c r="CVW63" s="228"/>
      <c r="CVX63" s="228"/>
      <c r="CVY63" s="228"/>
      <c r="CVZ63" s="228"/>
      <c r="CWA63" s="226"/>
      <c r="CWB63" s="226"/>
      <c r="CWC63" s="224"/>
      <c r="CWD63" s="225"/>
      <c r="CWE63" s="226"/>
      <c r="CWF63" s="227"/>
      <c r="CWG63" s="228"/>
      <c r="CWH63" s="228"/>
      <c r="CWI63" s="228"/>
      <c r="CWJ63" s="228"/>
      <c r="CWK63" s="228"/>
      <c r="CWL63" s="228"/>
      <c r="CWM63" s="226"/>
      <c r="CWN63" s="226"/>
      <c r="CWO63" s="224"/>
      <c r="CWP63" s="225"/>
      <c r="CWQ63" s="226"/>
      <c r="CWR63" s="227"/>
      <c r="CWS63" s="228"/>
      <c r="CWT63" s="228"/>
      <c r="CWU63" s="228"/>
      <c r="CWV63" s="228"/>
      <c r="CWW63" s="228"/>
      <c r="CWX63" s="228"/>
      <c r="CWY63" s="226"/>
      <c r="CWZ63" s="226"/>
      <c r="CXA63" s="224"/>
      <c r="CXB63" s="225"/>
      <c r="CXC63" s="226"/>
      <c r="CXD63" s="227"/>
      <c r="CXE63" s="228"/>
      <c r="CXF63" s="228"/>
      <c r="CXG63" s="228"/>
      <c r="CXH63" s="228"/>
      <c r="CXI63" s="228"/>
      <c r="CXJ63" s="228"/>
      <c r="CXK63" s="226"/>
      <c r="CXL63" s="226"/>
      <c r="CXM63" s="224"/>
      <c r="CXN63" s="225"/>
      <c r="CXO63" s="226"/>
      <c r="CXP63" s="227"/>
      <c r="CXQ63" s="228"/>
      <c r="CXR63" s="228"/>
      <c r="CXS63" s="228"/>
      <c r="CXT63" s="228"/>
      <c r="CXU63" s="228"/>
      <c r="CXV63" s="228"/>
      <c r="CXW63" s="226"/>
      <c r="CXX63" s="226"/>
      <c r="CXY63" s="224"/>
      <c r="CXZ63" s="225"/>
      <c r="CYA63" s="226"/>
      <c r="CYB63" s="227"/>
      <c r="CYC63" s="228"/>
      <c r="CYD63" s="228"/>
      <c r="CYE63" s="228"/>
      <c r="CYF63" s="228"/>
      <c r="CYG63" s="228"/>
      <c r="CYH63" s="228"/>
      <c r="CYI63" s="226"/>
      <c r="CYJ63" s="226"/>
      <c r="CYK63" s="224"/>
      <c r="CYL63" s="225"/>
      <c r="CYM63" s="226"/>
      <c r="CYN63" s="227"/>
      <c r="CYO63" s="228"/>
      <c r="CYP63" s="228"/>
      <c r="CYQ63" s="228"/>
      <c r="CYR63" s="228"/>
      <c r="CYS63" s="228"/>
      <c r="CYT63" s="228"/>
      <c r="CYU63" s="226"/>
      <c r="CYV63" s="226"/>
      <c r="CYW63" s="224"/>
      <c r="CYX63" s="225"/>
      <c r="CYY63" s="226"/>
      <c r="CYZ63" s="227"/>
      <c r="CZA63" s="228"/>
      <c r="CZB63" s="228"/>
      <c r="CZC63" s="228"/>
      <c r="CZD63" s="228"/>
      <c r="CZE63" s="228"/>
      <c r="CZF63" s="228"/>
      <c r="CZG63" s="226"/>
      <c r="CZH63" s="226"/>
      <c r="CZI63" s="224"/>
      <c r="CZJ63" s="225"/>
      <c r="CZK63" s="226"/>
      <c r="CZL63" s="227"/>
      <c r="CZM63" s="228"/>
      <c r="CZN63" s="228"/>
      <c r="CZO63" s="228"/>
      <c r="CZP63" s="228"/>
      <c r="CZQ63" s="228"/>
      <c r="CZR63" s="228"/>
      <c r="CZS63" s="226"/>
      <c r="CZT63" s="226"/>
      <c r="CZU63" s="224"/>
      <c r="CZV63" s="225"/>
      <c r="CZW63" s="226"/>
      <c r="CZX63" s="227"/>
      <c r="CZY63" s="228"/>
      <c r="CZZ63" s="228"/>
      <c r="DAA63" s="228"/>
      <c r="DAB63" s="228"/>
      <c r="DAC63" s="228"/>
      <c r="DAD63" s="228"/>
      <c r="DAE63" s="226"/>
      <c r="DAF63" s="226"/>
      <c r="DAG63" s="224"/>
      <c r="DAH63" s="225"/>
      <c r="DAI63" s="226"/>
      <c r="DAJ63" s="227"/>
      <c r="DAK63" s="228"/>
      <c r="DAL63" s="228"/>
      <c r="DAM63" s="228"/>
      <c r="DAN63" s="228"/>
      <c r="DAO63" s="228"/>
      <c r="DAP63" s="228"/>
      <c r="DAQ63" s="226"/>
      <c r="DAR63" s="226"/>
      <c r="DAS63" s="224"/>
      <c r="DAT63" s="225"/>
      <c r="DAU63" s="226"/>
      <c r="DAV63" s="227"/>
      <c r="DAW63" s="228"/>
      <c r="DAX63" s="228"/>
      <c r="DAY63" s="228"/>
      <c r="DAZ63" s="228"/>
      <c r="DBA63" s="228"/>
      <c r="DBB63" s="228"/>
      <c r="DBC63" s="226"/>
      <c r="DBD63" s="226"/>
      <c r="DBE63" s="224"/>
      <c r="DBF63" s="225"/>
      <c r="DBG63" s="226"/>
      <c r="DBH63" s="227"/>
      <c r="DBI63" s="228"/>
      <c r="DBJ63" s="228"/>
      <c r="DBK63" s="228"/>
      <c r="DBL63" s="228"/>
      <c r="DBM63" s="228"/>
      <c r="DBN63" s="228"/>
      <c r="DBO63" s="226"/>
      <c r="DBP63" s="226"/>
      <c r="DBQ63" s="224"/>
      <c r="DBR63" s="225"/>
      <c r="DBS63" s="226"/>
      <c r="DBT63" s="227"/>
      <c r="DBU63" s="228"/>
      <c r="DBV63" s="228"/>
      <c r="DBW63" s="228"/>
      <c r="DBX63" s="228"/>
      <c r="DBY63" s="228"/>
      <c r="DBZ63" s="228"/>
      <c r="DCA63" s="226"/>
      <c r="DCB63" s="226"/>
      <c r="DCC63" s="224"/>
      <c r="DCD63" s="225"/>
      <c r="DCE63" s="226"/>
      <c r="DCF63" s="227"/>
      <c r="DCG63" s="228"/>
      <c r="DCH63" s="228"/>
      <c r="DCI63" s="228"/>
      <c r="DCJ63" s="228"/>
      <c r="DCK63" s="228"/>
      <c r="DCL63" s="228"/>
      <c r="DCM63" s="226"/>
      <c r="DCN63" s="226"/>
      <c r="DCO63" s="224"/>
      <c r="DCP63" s="225"/>
      <c r="DCQ63" s="226"/>
      <c r="DCR63" s="227"/>
      <c r="DCS63" s="228"/>
      <c r="DCT63" s="228"/>
      <c r="DCU63" s="228"/>
      <c r="DCV63" s="228"/>
      <c r="DCW63" s="228"/>
      <c r="DCX63" s="228"/>
      <c r="DCY63" s="226"/>
      <c r="DCZ63" s="226"/>
      <c r="DDA63" s="224"/>
      <c r="DDB63" s="225"/>
      <c r="DDC63" s="226"/>
      <c r="DDD63" s="227"/>
      <c r="DDE63" s="228"/>
      <c r="DDF63" s="228"/>
      <c r="DDG63" s="228"/>
      <c r="DDH63" s="228"/>
      <c r="DDI63" s="228"/>
      <c r="DDJ63" s="228"/>
      <c r="DDK63" s="226"/>
      <c r="DDL63" s="226"/>
      <c r="DDM63" s="224"/>
      <c r="DDN63" s="225"/>
      <c r="DDO63" s="226"/>
      <c r="DDP63" s="227"/>
      <c r="DDQ63" s="228"/>
      <c r="DDR63" s="228"/>
      <c r="DDS63" s="228"/>
      <c r="DDT63" s="228"/>
      <c r="DDU63" s="228"/>
      <c r="DDV63" s="228"/>
      <c r="DDW63" s="226"/>
      <c r="DDX63" s="226"/>
      <c r="DDY63" s="224"/>
      <c r="DDZ63" s="225"/>
      <c r="DEA63" s="226"/>
      <c r="DEB63" s="227"/>
      <c r="DEC63" s="228"/>
      <c r="DED63" s="228"/>
      <c r="DEE63" s="228"/>
      <c r="DEF63" s="228"/>
      <c r="DEG63" s="228"/>
      <c r="DEH63" s="228"/>
      <c r="DEI63" s="226"/>
      <c r="DEJ63" s="226"/>
      <c r="DEK63" s="224"/>
      <c r="DEL63" s="225"/>
      <c r="DEM63" s="226"/>
      <c r="DEN63" s="227"/>
      <c r="DEO63" s="228"/>
      <c r="DEP63" s="228"/>
      <c r="DEQ63" s="228"/>
      <c r="DER63" s="228"/>
      <c r="DES63" s="228"/>
      <c r="DET63" s="228"/>
      <c r="DEU63" s="226"/>
      <c r="DEV63" s="226"/>
      <c r="DEW63" s="224"/>
      <c r="DEX63" s="225"/>
      <c r="DEY63" s="226"/>
      <c r="DEZ63" s="227"/>
      <c r="DFA63" s="228"/>
      <c r="DFB63" s="228"/>
      <c r="DFC63" s="228"/>
      <c r="DFD63" s="228"/>
      <c r="DFE63" s="228"/>
      <c r="DFF63" s="228"/>
      <c r="DFG63" s="226"/>
      <c r="DFH63" s="226"/>
      <c r="DFI63" s="224"/>
      <c r="DFJ63" s="225"/>
      <c r="DFK63" s="226"/>
      <c r="DFL63" s="227"/>
      <c r="DFM63" s="228"/>
      <c r="DFN63" s="228"/>
      <c r="DFO63" s="228"/>
      <c r="DFP63" s="228"/>
      <c r="DFQ63" s="228"/>
      <c r="DFR63" s="228"/>
      <c r="DFS63" s="226"/>
      <c r="DFT63" s="226"/>
      <c r="DFU63" s="224"/>
      <c r="DFV63" s="225"/>
      <c r="DFW63" s="226"/>
      <c r="DFX63" s="227"/>
      <c r="DFY63" s="228"/>
      <c r="DFZ63" s="228"/>
      <c r="DGA63" s="228"/>
      <c r="DGB63" s="228"/>
      <c r="DGC63" s="228"/>
      <c r="DGD63" s="228"/>
      <c r="DGE63" s="226"/>
      <c r="DGF63" s="226"/>
      <c r="DGG63" s="224"/>
      <c r="DGH63" s="225"/>
      <c r="DGI63" s="226"/>
      <c r="DGJ63" s="227"/>
      <c r="DGK63" s="228"/>
      <c r="DGL63" s="228"/>
      <c r="DGM63" s="228"/>
      <c r="DGN63" s="228"/>
      <c r="DGO63" s="228"/>
      <c r="DGP63" s="228"/>
      <c r="DGQ63" s="226"/>
      <c r="DGR63" s="226"/>
      <c r="DGS63" s="224"/>
      <c r="DGT63" s="225"/>
      <c r="DGU63" s="226"/>
      <c r="DGV63" s="227"/>
      <c r="DGW63" s="228"/>
      <c r="DGX63" s="228"/>
      <c r="DGY63" s="228"/>
      <c r="DGZ63" s="228"/>
      <c r="DHA63" s="228"/>
      <c r="DHB63" s="228"/>
      <c r="DHC63" s="226"/>
      <c r="DHD63" s="226"/>
      <c r="DHE63" s="224"/>
      <c r="DHF63" s="225"/>
      <c r="DHG63" s="226"/>
      <c r="DHH63" s="227"/>
      <c r="DHI63" s="228"/>
      <c r="DHJ63" s="228"/>
      <c r="DHK63" s="228"/>
      <c r="DHL63" s="228"/>
      <c r="DHM63" s="228"/>
      <c r="DHN63" s="228"/>
      <c r="DHO63" s="226"/>
      <c r="DHP63" s="226"/>
      <c r="DHQ63" s="224"/>
      <c r="DHR63" s="225"/>
      <c r="DHS63" s="226"/>
      <c r="DHT63" s="227"/>
      <c r="DHU63" s="228"/>
      <c r="DHV63" s="228"/>
      <c r="DHW63" s="228"/>
      <c r="DHX63" s="228"/>
      <c r="DHY63" s="228"/>
      <c r="DHZ63" s="228"/>
      <c r="DIA63" s="226"/>
      <c r="DIB63" s="226"/>
      <c r="DIC63" s="224"/>
      <c r="DID63" s="225"/>
      <c r="DIE63" s="226"/>
      <c r="DIF63" s="227"/>
      <c r="DIG63" s="228"/>
      <c r="DIH63" s="228"/>
      <c r="DII63" s="228"/>
      <c r="DIJ63" s="228"/>
      <c r="DIK63" s="228"/>
      <c r="DIL63" s="228"/>
      <c r="DIM63" s="226"/>
      <c r="DIN63" s="226"/>
      <c r="DIO63" s="224"/>
      <c r="DIP63" s="225"/>
      <c r="DIQ63" s="226"/>
      <c r="DIR63" s="227"/>
      <c r="DIS63" s="228"/>
      <c r="DIT63" s="228"/>
      <c r="DIU63" s="228"/>
      <c r="DIV63" s="228"/>
      <c r="DIW63" s="228"/>
      <c r="DIX63" s="228"/>
      <c r="DIY63" s="226"/>
      <c r="DIZ63" s="226"/>
      <c r="DJA63" s="224"/>
      <c r="DJB63" s="225"/>
      <c r="DJC63" s="226"/>
      <c r="DJD63" s="227"/>
      <c r="DJE63" s="228"/>
      <c r="DJF63" s="228"/>
      <c r="DJG63" s="228"/>
      <c r="DJH63" s="228"/>
      <c r="DJI63" s="228"/>
      <c r="DJJ63" s="228"/>
      <c r="DJK63" s="226"/>
      <c r="DJL63" s="226"/>
      <c r="DJM63" s="224"/>
      <c r="DJN63" s="225"/>
      <c r="DJO63" s="226"/>
      <c r="DJP63" s="227"/>
      <c r="DJQ63" s="228"/>
      <c r="DJR63" s="228"/>
      <c r="DJS63" s="228"/>
      <c r="DJT63" s="228"/>
      <c r="DJU63" s="228"/>
      <c r="DJV63" s="228"/>
      <c r="DJW63" s="226"/>
      <c r="DJX63" s="226"/>
      <c r="DJY63" s="224"/>
      <c r="DJZ63" s="225"/>
      <c r="DKA63" s="226"/>
      <c r="DKB63" s="227"/>
      <c r="DKC63" s="228"/>
      <c r="DKD63" s="228"/>
      <c r="DKE63" s="228"/>
      <c r="DKF63" s="228"/>
      <c r="DKG63" s="228"/>
      <c r="DKH63" s="228"/>
      <c r="DKI63" s="226"/>
      <c r="DKJ63" s="226"/>
      <c r="DKK63" s="224"/>
      <c r="DKL63" s="225"/>
      <c r="DKM63" s="226"/>
      <c r="DKN63" s="227"/>
      <c r="DKO63" s="228"/>
      <c r="DKP63" s="228"/>
      <c r="DKQ63" s="228"/>
      <c r="DKR63" s="228"/>
      <c r="DKS63" s="228"/>
      <c r="DKT63" s="228"/>
      <c r="DKU63" s="226"/>
      <c r="DKV63" s="226"/>
      <c r="DKW63" s="224"/>
      <c r="DKX63" s="225"/>
      <c r="DKY63" s="226"/>
      <c r="DKZ63" s="227"/>
      <c r="DLA63" s="228"/>
      <c r="DLB63" s="228"/>
      <c r="DLC63" s="228"/>
      <c r="DLD63" s="228"/>
      <c r="DLE63" s="228"/>
      <c r="DLF63" s="228"/>
      <c r="DLG63" s="226"/>
      <c r="DLH63" s="226"/>
      <c r="DLI63" s="224"/>
      <c r="DLJ63" s="225"/>
      <c r="DLK63" s="226"/>
      <c r="DLL63" s="227"/>
      <c r="DLM63" s="228"/>
      <c r="DLN63" s="228"/>
      <c r="DLO63" s="228"/>
      <c r="DLP63" s="228"/>
      <c r="DLQ63" s="228"/>
      <c r="DLR63" s="228"/>
      <c r="DLS63" s="226"/>
      <c r="DLT63" s="226"/>
      <c r="DLU63" s="224"/>
      <c r="DLV63" s="225"/>
      <c r="DLW63" s="226"/>
      <c r="DLX63" s="227"/>
      <c r="DLY63" s="228"/>
      <c r="DLZ63" s="228"/>
      <c r="DMA63" s="228"/>
      <c r="DMB63" s="228"/>
      <c r="DMC63" s="228"/>
      <c r="DMD63" s="228"/>
      <c r="DME63" s="226"/>
      <c r="DMF63" s="226"/>
      <c r="DMG63" s="224"/>
      <c r="DMH63" s="225"/>
      <c r="DMI63" s="226"/>
      <c r="DMJ63" s="227"/>
      <c r="DMK63" s="228"/>
      <c r="DML63" s="228"/>
      <c r="DMM63" s="228"/>
      <c r="DMN63" s="228"/>
      <c r="DMO63" s="228"/>
      <c r="DMP63" s="228"/>
      <c r="DMQ63" s="226"/>
      <c r="DMR63" s="226"/>
      <c r="DMS63" s="224"/>
      <c r="DMT63" s="225"/>
      <c r="DMU63" s="226"/>
      <c r="DMV63" s="227"/>
      <c r="DMW63" s="228"/>
      <c r="DMX63" s="228"/>
      <c r="DMY63" s="228"/>
      <c r="DMZ63" s="228"/>
      <c r="DNA63" s="228"/>
      <c r="DNB63" s="228"/>
      <c r="DNC63" s="226"/>
      <c r="DND63" s="226"/>
      <c r="DNE63" s="224"/>
      <c r="DNF63" s="225"/>
      <c r="DNG63" s="226"/>
      <c r="DNH63" s="227"/>
      <c r="DNI63" s="228"/>
      <c r="DNJ63" s="228"/>
      <c r="DNK63" s="228"/>
      <c r="DNL63" s="228"/>
      <c r="DNM63" s="228"/>
      <c r="DNN63" s="228"/>
      <c r="DNO63" s="226"/>
      <c r="DNP63" s="226"/>
      <c r="DNQ63" s="224"/>
      <c r="DNR63" s="225"/>
      <c r="DNS63" s="226"/>
      <c r="DNT63" s="227"/>
      <c r="DNU63" s="228"/>
      <c r="DNV63" s="228"/>
      <c r="DNW63" s="228"/>
      <c r="DNX63" s="228"/>
      <c r="DNY63" s="228"/>
      <c r="DNZ63" s="228"/>
      <c r="DOA63" s="226"/>
      <c r="DOB63" s="226"/>
      <c r="DOC63" s="224"/>
      <c r="DOD63" s="225"/>
      <c r="DOE63" s="226"/>
      <c r="DOF63" s="227"/>
      <c r="DOG63" s="228"/>
      <c r="DOH63" s="228"/>
      <c r="DOI63" s="228"/>
      <c r="DOJ63" s="228"/>
      <c r="DOK63" s="228"/>
      <c r="DOL63" s="228"/>
      <c r="DOM63" s="226"/>
      <c r="DON63" s="226"/>
      <c r="DOO63" s="224"/>
      <c r="DOP63" s="225"/>
      <c r="DOQ63" s="226"/>
      <c r="DOR63" s="227"/>
      <c r="DOS63" s="228"/>
      <c r="DOT63" s="228"/>
      <c r="DOU63" s="228"/>
      <c r="DOV63" s="228"/>
      <c r="DOW63" s="228"/>
      <c r="DOX63" s="228"/>
      <c r="DOY63" s="226"/>
      <c r="DOZ63" s="226"/>
      <c r="DPA63" s="224"/>
      <c r="DPB63" s="225"/>
      <c r="DPC63" s="226"/>
      <c r="DPD63" s="227"/>
      <c r="DPE63" s="228"/>
      <c r="DPF63" s="228"/>
      <c r="DPG63" s="228"/>
      <c r="DPH63" s="228"/>
      <c r="DPI63" s="228"/>
      <c r="DPJ63" s="228"/>
      <c r="DPK63" s="226"/>
      <c r="DPL63" s="226"/>
      <c r="DPM63" s="224"/>
      <c r="DPN63" s="225"/>
      <c r="DPO63" s="226"/>
      <c r="DPP63" s="227"/>
      <c r="DPQ63" s="228"/>
      <c r="DPR63" s="228"/>
      <c r="DPS63" s="228"/>
      <c r="DPT63" s="228"/>
      <c r="DPU63" s="228"/>
      <c r="DPV63" s="228"/>
      <c r="DPW63" s="226"/>
      <c r="DPX63" s="226"/>
      <c r="DPY63" s="224"/>
      <c r="DPZ63" s="225"/>
      <c r="DQA63" s="226"/>
      <c r="DQB63" s="227"/>
      <c r="DQC63" s="228"/>
      <c r="DQD63" s="228"/>
      <c r="DQE63" s="228"/>
      <c r="DQF63" s="228"/>
      <c r="DQG63" s="228"/>
      <c r="DQH63" s="228"/>
      <c r="DQI63" s="226"/>
      <c r="DQJ63" s="226"/>
      <c r="DQK63" s="224"/>
      <c r="DQL63" s="225"/>
      <c r="DQM63" s="226"/>
      <c r="DQN63" s="227"/>
      <c r="DQO63" s="228"/>
      <c r="DQP63" s="228"/>
      <c r="DQQ63" s="228"/>
      <c r="DQR63" s="228"/>
      <c r="DQS63" s="228"/>
      <c r="DQT63" s="228"/>
      <c r="DQU63" s="226"/>
      <c r="DQV63" s="226"/>
      <c r="DQW63" s="224"/>
      <c r="DQX63" s="225"/>
      <c r="DQY63" s="226"/>
      <c r="DQZ63" s="227"/>
      <c r="DRA63" s="228"/>
      <c r="DRB63" s="228"/>
      <c r="DRC63" s="228"/>
      <c r="DRD63" s="228"/>
      <c r="DRE63" s="228"/>
      <c r="DRF63" s="228"/>
      <c r="DRG63" s="226"/>
      <c r="DRH63" s="226"/>
      <c r="DRI63" s="224"/>
      <c r="DRJ63" s="225"/>
      <c r="DRK63" s="226"/>
      <c r="DRL63" s="227"/>
      <c r="DRM63" s="228"/>
      <c r="DRN63" s="228"/>
      <c r="DRO63" s="228"/>
      <c r="DRP63" s="228"/>
      <c r="DRQ63" s="228"/>
      <c r="DRR63" s="228"/>
      <c r="DRS63" s="226"/>
      <c r="DRT63" s="226"/>
      <c r="DRU63" s="224"/>
      <c r="DRV63" s="225"/>
      <c r="DRW63" s="226"/>
      <c r="DRX63" s="227"/>
      <c r="DRY63" s="228"/>
      <c r="DRZ63" s="228"/>
      <c r="DSA63" s="228"/>
      <c r="DSB63" s="228"/>
      <c r="DSC63" s="228"/>
      <c r="DSD63" s="228"/>
      <c r="DSE63" s="226"/>
      <c r="DSF63" s="226"/>
      <c r="DSG63" s="224"/>
      <c r="DSH63" s="225"/>
      <c r="DSI63" s="226"/>
      <c r="DSJ63" s="227"/>
      <c r="DSK63" s="228"/>
      <c r="DSL63" s="228"/>
      <c r="DSM63" s="228"/>
      <c r="DSN63" s="228"/>
      <c r="DSO63" s="228"/>
      <c r="DSP63" s="228"/>
      <c r="DSQ63" s="226"/>
      <c r="DSR63" s="226"/>
      <c r="DSS63" s="224"/>
      <c r="DST63" s="225"/>
      <c r="DSU63" s="226"/>
      <c r="DSV63" s="227"/>
      <c r="DSW63" s="228"/>
      <c r="DSX63" s="228"/>
      <c r="DSY63" s="228"/>
      <c r="DSZ63" s="228"/>
      <c r="DTA63" s="228"/>
      <c r="DTB63" s="228"/>
      <c r="DTC63" s="226"/>
      <c r="DTD63" s="226"/>
      <c r="DTE63" s="224"/>
      <c r="DTF63" s="225"/>
      <c r="DTG63" s="226"/>
      <c r="DTH63" s="227"/>
      <c r="DTI63" s="228"/>
      <c r="DTJ63" s="228"/>
      <c r="DTK63" s="228"/>
      <c r="DTL63" s="228"/>
      <c r="DTM63" s="228"/>
      <c r="DTN63" s="228"/>
      <c r="DTO63" s="226"/>
      <c r="DTP63" s="226"/>
      <c r="DTQ63" s="224"/>
      <c r="DTR63" s="225"/>
      <c r="DTS63" s="226"/>
      <c r="DTT63" s="227"/>
      <c r="DTU63" s="228"/>
      <c r="DTV63" s="228"/>
      <c r="DTW63" s="228"/>
      <c r="DTX63" s="228"/>
      <c r="DTY63" s="228"/>
      <c r="DTZ63" s="228"/>
      <c r="DUA63" s="226"/>
      <c r="DUB63" s="226"/>
      <c r="DUC63" s="224"/>
      <c r="DUD63" s="225"/>
      <c r="DUE63" s="226"/>
      <c r="DUF63" s="227"/>
      <c r="DUG63" s="228"/>
      <c r="DUH63" s="228"/>
      <c r="DUI63" s="228"/>
      <c r="DUJ63" s="228"/>
      <c r="DUK63" s="228"/>
      <c r="DUL63" s="228"/>
      <c r="DUM63" s="226"/>
      <c r="DUN63" s="226"/>
      <c r="DUO63" s="224"/>
      <c r="DUP63" s="225"/>
      <c r="DUQ63" s="226"/>
      <c r="DUR63" s="227"/>
      <c r="DUS63" s="228"/>
      <c r="DUT63" s="228"/>
      <c r="DUU63" s="228"/>
      <c r="DUV63" s="228"/>
      <c r="DUW63" s="228"/>
      <c r="DUX63" s="228"/>
      <c r="DUY63" s="226"/>
      <c r="DUZ63" s="226"/>
      <c r="DVA63" s="224"/>
      <c r="DVB63" s="225"/>
      <c r="DVC63" s="226"/>
      <c r="DVD63" s="227"/>
      <c r="DVE63" s="228"/>
      <c r="DVF63" s="228"/>
      <c r="DVG63" s="228"/>
      <c r="DVH63" s="228"/>
      <c r="DVI63" s="228"/>
      <c r="DVJ63" s="228"/>
      <c r="DVK63" s="226"/>
      <c r="DVL63" s="226"/>
      <c r="DVM63" s="224"/>
      <c r="DVN63" s="225"/>
      <c r="DVO63" s="226"/>
      <c r="DVP63" s="227"/>
      <c r="DVQ63" s="228"/>
      <c r="DVR63" s="228"/>
      <c r="DVS63" s="228"/>
      <c r="DVT63" s="228"/>
      <c r="DVU63" s="228"/>
      <c r="DVV63" s="228"/>
      <c r="DVW63" s="226"/>
      <c r="DVX63" s="226"/>
      <c r="DVY63" s="224"/>
      <c r="DVZ63" s="225"/>
      <c r="DWA63" s="226"/>
      <c r="DWB63" s="227"/>
      <c r="DWC63" s="228"/>
      <c r="DWD63" s="228"/>
      <c r="DWE63" s="228"/>
      <c r="DWF63" s="228"/>
      <c r="DWG63" s="228"/>
      <c r="DWH63" s="228"/>
      <c r="DWI63" s="226"/>
      <c r="DWJ63" s="226"/>
      <c r="DWK63" s="224"/>
      <c r="DWL63" s="225"/>
      <c r="DWM63" s="226"/>
      <c r="DWN63" s="227"/>
      <c r="DWO63" s="228"/>
      <c r="DWP63" s="228"/>
      <c r="DWQ63" s="228"/>
      <c r="DWR63" s="228"/>
      <c r="DWS63" s="228"/>
      <c r="DWT63" s="228"/>
      <c r="DWU63" s="226"/>
      <c r="DWV63" s="226"/>
      <c r="DWW63" s="224"/>
      <c r="DWX63" s="225"/>
      <c r="DWY63" s="226"/>
      <c r="DWZ63" s="227"/>
      <c r="DXA63" s="228"/>
      <c r="DXB63" s="228"/>
      <c r="DXC63" s="228"/>
      <c r="DXD63" s="228"/>
      <c r="DXE63" s="228"/>
      <c r="DXF63" s="228"/>
      <c r="DXG63" s="226"/>
      <c r="DXH63" s="226"/>
      <c r="DXI63" s="224"/>
      <c r="DXJ63" s="225"/>
      <c r="DXK63" s="226"/>
      <c r="DXL63" s="227"/>
      <c r="DXM63" s="228"/>
      <c r="DXN63" s="228"/>
      <c r="DXO63" s="228"/>
      <c r="DXP63" s="228"/>
      <c r="DXQ63" s="228"/>
      <c r="DXR63" s="228"/>
      <c r="DXS63" s="226"/>
      <c r="DXT63" s="226"/>
      <c r="DXU63" s="224"/>
      <c r="DXV63" s="225"/>
      <c r="DXW63" s="226"/>
      <c r="DXX63" s="227"/>
      <c r="DXY63" s="228"/>
      <c r="DXZ63" s="228"/>
      <c r="DYA63" s="228"/>
      <c r="DYB63" s="228"/>
      <c r="DYC63" s="228"/>
      <c r="DYD63" s="228"/>
      <c r="DYE63" s="226"/>
      <c r="DYF63" s="226"/>
      <c r="DYG63" s="224"/>
      <c r="DYH63" s="225"/>
      <c r="DYI63" s="226"/>
      <c r="DYJ63" s="227"/>
      <c r="DYK63" s="228"/>
      <c r="DYL63" s="228"/>
      <c r="DYM63" s="228"/>
      <c r="DYN63" s="228"/>
      <c r="DYO63" s="228"/>
      <c r="DYP63" s="228"/>
      <c r="DYQ63" s="226"/>
      <c r="DYR63" s="226"/>
      <c r="DYS63" s="224"/>
      <c r="DYT63" s="225"/>
      <c r="DYU63" s="226"/>
      <c r="DYV63" s="227"/>
      <c r="DYW63" s="228"/>
      <c r="DYX63" s="228"/>
      <c r="DYY63" s="228"/>
      <c r="DYZ63" s="228"/>
      <c r="DZA63" s="228"/>
      <c r="DZB63" s="228"/>
      <c r="DZC63" s="226"/>
      <c r="DZD63" s="226"/>
      <c r="DZE63" s="224"/>
      <c r="DZF63" s="225"/>
      <c r="DZG63" s="226"/>
      <c r="DZH63" s="227"/>
      <c r="DZI63" s="228"/>
      <c r="DZJ63" s="228"/>
      <c r="DZK63" s="228"/>
      <c r="DZL63" s="228"/>
      <c r="DZM63" s="228"/>
      <c r="DZN63" s="228"/>
      <c r="DZO63" s="226"/>
      <c r="DZP63" s="226"/>
      <c r="DZQ63" s="224"/>
      <c r="DZR63" s="225"/>
      <c r="DZS63" s="226"/>
      <c r="DZT63" s="227"/>
      <c r="DZU63" s="228"/>
      <c r="DZV63" s="228"/>
      <c r="DZW63" s="228"/>
      <c r="DZX63" s="228"/>
      <c r="DZY63" s="228"/>
      <c r="DZZ63" s="228"/>
      <c r="EAA63" s="226"/>
      <c r="EAB63" s="226"/>
      <c r="EAC63" s="224"/>
      <c r="EAD63" s="225"/>
      <c r="EAE63" s="226"/>
      <c r="EAF63" s="227"/>
      <c r="EAG63" s="228"/>
      <c r="EAH63" s="228"/>
      <c r="EAI63" s="228"/>
      <c r="EAJ63" s="228"/>
      <c r="EAK63" s="228"/>
      <c r="EAL63" s="228"/>
      <c r="EAM63" s="226"/>
      <c r="EAN63" s="226"/>
      <c r="EAO63" s="224"/>
      <c r="EAP63" s="225"/>
      <c r="EAQ63" s="226"/>
      <c r="EAR63" s="227"/>
      <c r="EAS63" s="228"/>
      <c r="EAT63" s="228"/>
      <c r="EAU63" s="228"/>
      <c r="EAV63" s="228"/>
      <c r="EAW63" s="228"/>
      <c r="EAX63" s="228"/>
      <c r="EAY63" s="226"/>
      <c r="EAZ63" s="226"/>
      <c r="EBA63" s="224"/>
      <c r="EBB63" s="225"/>
      <c r="EBC63" s="226"/>
      <c r="EBD63" s="227"/>
      <c r="EBE63" s="228"/>
      <c r="EBF63" s="228"/>
      <c r="EBG63" s="228"/>
      <c r="EBH63" s="228"/>
      <c r="EBI63" s="228"/>
      <c r="EBJ63" s="228"/>
      <c r="EBK63" s="226"/>
      <c r="EBL63" s="226"/>
      <c r="EBM63" s="224"/>
      <c r="EBN63" s="225"/>
      <c r="EBO63" s="226"/>
      <c r="EBP63" s="227"/>
      <c r="EBQ63" s="228"/>
      <c r="EBR63" s="228"/>
      <c r="EBS63" s="228"/>
      <c r="EBT63" s="228"/>
      <c r="EBU63" s="228"/>
      <c r="EBV63" s="228"/>
      <c r="EBW63" s="226"/>
      <c r="EBX63" s="226"/>
      <c r="EBY63" s="224"/>
      <c r="EBZ63" s="225"/>
      <c r="ECA63" s="226"/>
      <c r="ECB63" s="227"/>
      <c r="ECC63" s="228"/>
      <c r="ECD63" s="228"/>
      <c r="ECE63" s="228"/>
      <c r="ECF63" s="228"/>
      <c r="ECG63" s="228"/>
      <c r="ECH63" s="228"/>
      <c r="ECI63" s="226"/>
      <c r="ECJ63" s="226"/>
      <c r="ECK63" s="224"/>
      <c r="ECL63" s="225"/>
      <c r="ECM63" s="226"/>
      <c r="ECN63" s="227"/>
      <c r="ECO63" s="228"/>
      <c r="ECP63" s="228"/>
      <c r="ECQ63" s="228"/>
      <c r="ECR63" s="228"/>
      <c r="ECS63" s="228"/>
      <c r="ECT63" s="228"/>
      <c r="ECU63" s="226"/>
      <c r="ECV63" s="226"/>
      <c r="ECW63" s="224"/>
      <c r="ECX63" s="225"/>
      <c r="ECY63" s="226"/>
      <c r="ECZ63" s="227"/>
      <c r="EDA63" s="228"/>
      <c r="EDB63" s="228"/>
      <c r="EDC63" s="228"/>
      <c r="EDD63" s="228"/>
      <c r="EDE63" s="228"/>
      <c r="EDF63" s="228"/>
      <c r="EDG63" s="226"/>
      <c r="EDH63" s="226"/>
      <c r="EDI63" s="224"/>
      <c r="EDJ63" s="225"/>
      <c r="EDK63" s="226"/>
      <c r="EDL63" s="227"/>
      <c r="EDM63" s="228"/>
      <c r="EDN63" s="228"/>
      <c r="EDO63" s="228"/>
      <c r="EDP63" s="228"/>
      <c r="EDQ63" s="228"/>
      <c r="EDR63" s="228"/>
      <c r="EDS63" s="226"/>
      <c r="EDT63" s="226"/>
      <c r="EDU63" s="224"/>
      <c r="EDV63" s="225"/>
      <c r="EDW63" s="226"/>
      <c r="EDX63" s="227"/>
      <c r="EDY63" s="228"/>
      <c r="EDZ63" s="228"/>
      <c r="EEA63" s="228"/>
      <c r="EEB63" s="228"/>
      <c r="EEC63" s="228"/>
      <c r="EED63" s="228"/>
      <c r="EEE63" s="226"/>
      <c r="EEF63" s="226"/>
      <c r="EEG63" s="224"/>
      <c r="EEH63" s="225"/>
      <c r="EEI63" s="226"/>
      <c r="EEJ63" s="227"/>
      <c r="EEK63" s="228"/>
      <c r="EEL63" s="228"/>
      <c r="EEM63" s="228"/>
      <c r="EEN63" s="228"/>
      <c r="EEO63" s="228"/>
      <c r="EEP63" s="228"/>
      <c r="EEQ63" s="226"/>
      <c r="EER63" s="226"/>
      <c r="EES63" s="224"/>
      <c r="EET63" s="225"/>
      <c r="EEU63" s="226"/>
      <c r="EEV63" s="227"/>
      <c r="EEW63" s="228"/>
      <c r="EEX63" s="228"/>
      <c r="EEY63" s="228"/>
      <c r="EEZ63" s="228"/>
      <c r="EFA63" s="228"/>
      <c r="EFB63" s="228"/>
      <c r="EFC63" s="226"/>
      <c r="EFD63" s="226"/>
      <c r="EFE63" s="224"/>
      <c r="EFF63" s="225"/>
      <c r="EFG63" s="226"/>
      <c r="EFH63" s="227"/>
      <c r="EFI63" s="228"/>
      <c r="EFJ63" s="228"/>
      <c r="EFK63" s="228"/>
      <c r="EFL63" s="228"/>
      <c r="EFM63" s="228"/>
      <c r="EFN63" s="228"/>
      <c r="EFO63" s="226"/>
      <c r="EFP63" s="226"/>
      <c r="EFQ63" s="224"/>
      <c r="EFR63" s="225"/>
      <c r="EFS63" s="226"/>
      <c r="EFT63" s="227"/>
      <c r="EFU63" s="228"/>
      <c r="EFV63" s="228"/>
      <c r="EFW63" s="228"/>
      <c r="EFX63" s="228"/>
      <c r="EFY63" s="228"/>
      <c r="EFZ63" s="228"/>
      <c r="EGA63" s="226"/>
      <c r="EGB63" s="226"/>
      <c r="EGC63" s="224"/>
      <c r="EGD63" s="225"/>
      <c r="EGE63" s="226"/>
      <c r="EGF63" s="227"/>
      <c r="EGG63" s="228"/>
      <c r="EGH63" s="228"/>
      <c r="EGI63" s="228"/>
      <c r="EGJ63" s="228"/>
      <c r="EGK63" s="228"/>
      <c r="EGL63" s="228"/>
      <c r="EGM63" s="226"/>
      <c r="EGN63" s="226"/>
      <c r="EGO63" s="224"/>
      <c r="EGP63" s="225"/>
      <c r="EGQ63" s="226"/>
      <c r="EGR63" s="227"/>
      <c r="EGS63" s="228"/>
      <c r="EGT63" s="228"/>
      <c r="EGU63" s="228"/>
      <c r="EGV63" s="228"/>
      <c r="EGW63" s="228"/>
      <c r="EGX63" s="228"/>
      <c r="EGY63" s="226"/>
      <c r="EGZ63" s="226"/>
      <c r="EHA63" s="224"/>
      <c r="EHB63" s="225"/>
      <c r="EHC63" s="226"/>
      <c r="EHD63" s="227"/>
      <c r="EHE63" s="228"/>
      <c r="EHF63" s="228"/>
      <c r="EHG63" s="228"/>
      <c r="EHH63" s="228"/>
      <c r="EHI63" s="228"/>
      <c r="EHJ63" s="228"/>
      <c r="EHK63" s="226"/>
      <c r="EHL63" s="226"/>
      <c r="EHM63" s="224"/>
      <c r="EHN63" s="225"/>
      <c r="EHO63" s="226"/>
      <c r="EHP63" s="227"/>
      <c r="EHQ63" s="228"/>
      <c r="EHR63" s="228"/>
      <c r="EHS63" s="228"/>
      <c r="EHT63" s="228"/>
      <c r="EHU63" s="228"/>
      <c r="EHV63" s="228"/>
      <c r="EHW63" s="226"/>
      <c r="EHX63" s="226"/>
      <c r="EHY63" s="224"/>
      <c r="EHZ63" s="225"/>
      <c r="EIA63" s="226"/>
      <c r="EIB63" s="227"/>
      <c r="EIC63" s="228"/>
      <c r="EID63" s="228"/>
      <c r="EIE63" s="228"/>
      <c r="EIF63" s="228"/>
      <c r="EIG63" s="228"/>
      <c r="EIH63" s="228"/>
      <c r="EII63" s="226"/>
      <c r="EIJ63" s="226"/>
      <c r="EIK63" s="224"/>
      <c r="EIL63" s="225"/>
      <c r="EIM63" s="226"/>
      <c r="EIN63" s="227"/>
      <c r="EIO63" s="228"/>
      <c r="EIP63" s="228"/>
      <c r="EIQ63" s="228"/>
      <c r="EIR63" s="228"/>
      <c r="EIS63" s="228"/>
      <c r="EIT63" s="228"/>
      <c r="EIU63" s="226"/>
      <c r="EIV63" s="226"/>
      <c r="EIW63" s="224"/>
      <c r="EIX63" s="225"/>
      <c r="EIY63" s="226"/>
      <c r="EIZ63" s="227"/>
      <c r="EJA63" s="228"/>
      <c r="EJB63" s="228"/>
      <c r="EJC63" s="228"/>
      <c r="EJD63" s="228"/>
      <c r="EJE63" s="228"/>
      <c r="EJF63" s="228"/>
      <c r="EJG63" s="226"/>
      <c r="EJH63" s="226"/>
      <c r="EJI63" s="224"/>
      <c r="EJJ63" s="225"/>
      <c r="EJK63" s="226"/>
      <c r="EJL63" s="227"/>
      <c r="EJM63" s="228"/>
      <c r="EJN63" s="228"/>
      <c r="EJO63" s="228"/>
      <c r="EJP63" s="228"/>
      <c r="EJQ63" s="228"/>
      <c r="EJR63" s="228"/>
      <c r="EJS63" s="226"/>
      <c r="EJT63" s="226"/>
      <c r="EJU63" s="224"/>
      <c r="EJV63" s="225"/>
      <c r="EJW63" s="226"/>
      <c r="EJX63" s="227"/>
      <c r="EJY63" s="228"/>
      <c r="EJZ63" s="228"/>
      <c r="EKA63" s="228"/>
      <c r="EKB63" s="228"/>
      <c r="EKC63" s="228"/>
      <c r="EKD63" s="228"/>
      <c r="EKE63" s="226"/>
      <c r="EKF63" s="226"/>
      <c r="EKG63" s="224"/>
      <c r="EKH63" s="225"/>
      <c r="EKI63" s="226"/>
      <c r="EKJ63" s="227"/>
      <c r="EKK63" s="228"/>
      <c r="EKL63" s="228"/>
      <c r="EKM63" s="228"/>
      <c r="EKN63" s="228"/>
      <c r="EKO63" s="228"/>
      <c r="EKP63" s="228"/>
      <c r="EKQ63" s="226"/>
      <c r="EKR63" s="226"/>
      <c r="EKS63" s="224"/>
      <c r="EKT63" s="225"/>
      <c r="EKU63" s="226"/>
      <c r="EKV63" s="227"/>
      <c r="EKW63" s="228"/>
      <c r="EKX63" s="228"/>
      <c r="EKY63" s="228"/>
      <c r="EKZ63" s="228"/>
      <c r="ELA63" s="228"/>
      <c r="ELB63" s="228"/>
      <c r="ELC63" s="226"/>
      <c r="ELD63" s="226"/>
      <c r="ELE63" s="224"/>
      <c r="ELF63" s="225"/>
      <c r="ELG63" s="226"/>
      <c r="ELH63" s="227"/>
      <c r="ELI63" s="228"/>
      <c r="ELJ63" s="228"/>
      <c r="ELK63" s="228"/>
      <c r="ELL63" s="228"/>
      <c r="ELM63" s="228"/>
      <c r="ELN63" s="228"/>
      <c r="ELO63" s="226"/>
      <c r="ELP63" s="226"/>
      <c r="ELQ63" s="224"/>
      <c r="ELR63" s="225"/>
      <c r="ELS63" s="226"/>
      <c r="ELT63" s="227"/>
      <c r="ELU63" s="228"/>
      <c r="ELV63" s="228"/>
      <c r="ELW63" s="228"/>
      <c r="ELX63" s="228"/>
      <c r="ELY63" s="228"/>
      <c r="ELZ63" s="228"/>
      <c r="EMA63" s="226"/>
      <c r="EMB63" s="226"/>
      <c r="EMC63" s="224"/>
      <c r="EMD63" s="225"/>
      <c r="EME63" s="226"/>
      <c r="EMF63" s="227"/>
      <c r="EMG63" s="228"/>
      <c r="EMH63" s="228"/>
      <c r="EMI63" s="228"/>
      <c r="EMJ63" s="228"/>
      <c r="EMK63" s="228"/>
      <c r="EML63" s="228"/>
      <c r="EMM63" s="226"/>
      <c r="EMN63" s="226"/>
      <c r="EMO63" s="224"/>
      <c r="EMP63" s="225"/>
      <c r="EMQ63" s="226"/>
      <c r="EMR63" s="227"/>
      <c r="EMS63" s="228"/>
      <c r="EMT63" s="228"/>
      <c r="EMU63" s="228"/>
      <c r="EMV63" s="228"/>
      <c r="EMW63" s="228"/>
      <c r="EMX63" s="228"/>
      <c r="EMY63" s="226"/>
      <c r="EMZ63" s="226"/>
      <c r="ENA63" s="224"/>
      <c r="ENB63" s="225"/>
      <c r="ENC63" s="226"/>
      <c r="END63" s="227"/>
      <c r="ENE63" s="228"/>
      <c r="ENF63" s="228"/>
      <c r="ENG63" s="228"/>
      <c r="ENH63" s="228"/>
      <c r="ENI63" s="228"/>
      <c r="ENJ63" s="228"/>
      <c r="ENK63" s="226"/>
      <c r="ENL63" s="226"/>
      <c r="ENM63" s="224"/>
      <c r="ENN63" s="225"/>
      <c r="ENO63" s="226"/>
      <c r="ENP63" s="227"/>
      <c r="ENQ63" s="228"/>
      <c r="ENR63" s="228"/>
      <c r="ENS63" s="228"/>
      <c r="ENT63" s="228"/>
      <c r="ENU63" s="228"/>
      <c r="ENV63" s="228"/>
      <c r="ENW63" s="226"/>
      <c r="ENX63" s="226"/>
      <c r="ENY63" s="224"/>
      <c r="ENZ63" s="225"/>
      <c r="EOA63" s="226"/>
      <c r="EOB63" s="227"/>
      <c r="EOC63" s="228"/>
      <c r="EOD63" s="228"/>
      <c r="EOE63" s="228"/>
      <c r="EOF63" s="228"/>
      <c r="EOG63" s="228"/>
      <c r="EOH63" s="228"/>
      <c r="EOI63" s="226"/>
      <c r="EOJ63" s="226"/>
      <c r="EOK63" s="224"/>
      <c r="EOL63" s="225"/>
      <c r="EOM63" s="226"/>
      <c r="EON63" s="227"/>
      <c r="EOO63" s="228"/>
      <c r="EOP63" s="228"/>
      <c r="EOQ63" s="228"/>
      <c r="EOR63" s="228"/>
      <c r="EOS63" s="228"/>
      <c r="EOT63" s="228"/>
      <c r="EOU63" s="226"/>
      <c r="EOV63" s="226"/>
      <c r="EOW63" s="224"/>
      <c r="EOX63" s="225"/>
      <c r="EOY63" s="226"/>
      <c r="EOZ63" s="227"/>
      <c r="EPA63" s="228"/>
      <c r="EPB63" s="228"/>
      <c r="EPC63" s="228"/>
      <c r="EPD63" s="228"/>
      <c r="EPE63" s="228"/>
      <c r="EPF63" s="228"/>
      <c r="EPG63" s="226"/>
      <c r="EPH63" s="226"/>
      <c r="EPI63" s="224"/>
      <c r="EPJ63" s="225"/>
      <c r="EPK63" s="226"/>
      <c r="EPL63" s="227"/>
      <c r="EPM63" s="228"/>
      <c r="EPN63" s="228"/>
      <c r="EPO63" s="228"/>
      <c r="EPP63" s="228"/>
      <c r="EPQ63" s="228"/>
      <c r="EPR63" s="228"/>
      <c r="EPS63" s="226"/>
      <c r="EPT63" s="226"/>
      <c r="EPU63" s="224"/>
      <c r="EPV63" s="225"/>
      <c r="EPW63" s="226"/>
      <c r="EPX63" s="227"/>
      <c r="EPY63" s="228"/>
      <c r="EPZ63" s="228"/>
      <c r="EQA63" s="228"/>
      <c r="EQB63" s="228"/>
      <c r="EQC63" s="228"/>
      <c r="EQD63" s="228"/>
      <c r="EQE63" s="226"/>
      <c r="EQF63" s="226"/>
      <c r="EQG63" s="224"/>
      <c r="EQH63" s="225"/>
      <c r="EQI63" s="226"/>
      <c r="EQJ63" s="227"/>
      <c r="EQK63" s="228"/>
      <c r="EQL63" s="228"/>
      <c r="EQM63" s="228"/>
      <c r="EQN63" s="228"/>
      <c r="EQO63" s="228"/>
      <c r="EQP63" s="228"/>
      <c r="EQQ63" s="226"/>
      <c r="EQR63" s="226"/>
      <c r="EQS63" s="224"/>
      <c r="EQT63" s="225"/>
      <c r="EQU63" s="226"/>
      <c r="EQV63" s="227"/>
      <c r="EQW63" s="228"/>
      <c r="EQX63" s="228"/>
      <c r="EQY63" s="228"/>
      <c r="EQZ63" s="228"/>
      <c r="ERA63" s="228"/>
      <c r="ERB63" s="228"/>
      <c r="ERC63" s="226"/>
      <c r="ERD63" s="226"/>
      <c r="ERE63" s="224"/>
      <c r="ERF63" s="225"/>
      <c r="ERG63" s="226"/>
      <c r="ERH63" s="227"/>
      <c r="ERI63" s="228"/>
      <c r="ERJ63" s="228"/>
      <c r="ERK63" s="228"/>
      <c r="ERL63" s="228"/>
      <c r="ERM63" s="228"/>
      <c r="ERN63" s="228"/>
      <c r="ERO63" s="226"/>
      <c r="ERP63" s="226"/>
      <c r="ERQ63" s="224"/>
      <c r="ERR63" s="225"/>
      <c r="ERS63" s="226"/>
      <c r="ERT63" s="227"/>
      <c r="ERU63" s="228"/>
      <c r="ERV63" s="228"/>
      <c r="ERW63" s="228"/>
      <c r="ERX63" s="228"/>
      <c r="ERY63" s="228"/>
      <c r="ERZ63" s="228"/>
      <c r="ESA63" s="226"/>
      <c r="ESB63" s="226"/>
      <c r="ESC63" s="224"/>
      <c r="ESD63" s="225"/>
      <c r="ESE63" s="226"/>
      <c r="ESF63" s="227"/>
      <c r="ESG63" s="228"/>
      <c r="ESH63" s="228"/>
      <c r="ESI63" s="228"/>
      <c r="ESJ63" s="228"/>
      <c r="ESK63" s="228"/>
      <c r="ESL63" s="228"/>
      <c r="ESM63" s="226"/>
      <c r="ESN63" s="226"/>
      <c r="ESO63" s="224"/>
      <c r="ESP63" s="225"/>
      <c r="ESQ63" s="226"/>
      <c r="ESR63" s="227"/>
      <c r="ESS63" s="228"/>
      <c r="EST63" s="228"/>
      <c r="ESU63" s="228"/>
      <c r="ESV63" s="228"/>
      <c r="ESW63" s="228"/>
      <c r="ESX63" s="228"/>
      <c r="ESY63" s="226"/>
      <c r="ESZ63" s="226"/>
      <c r="ETA63" s="224"/>
      <c r="ETB63" s="225"/>
      <c r="ETC63" s="226"/>
      <c r="ETD63" s="227"/>
      <c r="ETE63" s="228"/>
      <c r="ETF63" s="228"/>
      <c r="ETG63" s="228"/>
      <c r="ETH63" s="228"/>
      <c r="ETI63" s="228"/>
      <c r="ETJ63" s="228"/>
      <c r="ETK63" s="226"/>
      <c r="ETL63" s="226"/>
      <c r="ETM63" s="224"/>
      <c r="ETN63" s="225"/>
      <c r="ETO63" s="226"/>
      <c r="ETP63" s="227"/>
      <c r="ETQ63" s="228"/>
      <c r="ETR63" s="228"/>
      <c r="ETS63" s="228"/>
      <c r="ETT63" s="228"/>
      <c r="ETU63" s="228"/>
      <c r="ETV63" s="228"/>
      <c r="ETW63" s="226"/>
      <c r="ETX63" s="226"/>
      <c r="ETY63" s="224"/>
      <c r="ETZ63" s="225"/>
      <c r="EUA63" s="226"/>
      <c r="EUB63" s="227"/>
      <c r="EUC63" s="228"/>
      <c r="EUD63" s="228"/>
      <c r="EUE63" s="228"/>
      <c r="EUF63" s="228"/>
      <c r="EUG63" s="228"/>
      <c r="EUH63" s="228"/>
      <c r="EUI63" s="226"/>
      <c r="EUJ63" s="226"/>
      <c r="EUK63" s="224"/>
      <c r="EUL63" s="225"/>
      <c r="EUM63" s="226"/>
      <c r="EUN63" s="227"/>
      <c r="EUO63" s="228"/>
      <c r="EUP63" s="228"/>
      <c r="EUQ63" s="228"/>
      <c r="EUR63" s="228"/>
      <c r="EUS63" s="228"/>
      <c r="EUT63" s="228"/>
      <c r="EUU63" s="226"/>
      <c r="EUV63" s="226"/>
      <c r="EUW63" s="224"/>
      <c r="EUX63" s="225"/>
      <c r="EUY63" s="226"/>
      <c r="EUZ63" s="227"/>
      <c r="EVA63" s="228"/>
      <c r="EVB63" s="228"/>
      <c r="EVC63" s="228"/>
      <c r="EVD63" s="228"/>
      <c r="EVE63" s="228"/>
      <c r="EVF63" s="228"/>
      <c r="EVG63" s="226"/>
      <c r="EVH63" s="226"/>
      <c r="EVI63" s="224"/>
      <c r="EVJ63" s="225"/>
      <c r="EVK63" s="226"/>
      <c r="EVL63" s="227"/>
      <c r="EVM63" s="228"/>
      <c r="EVN63" s="228"/>
      <c r="EVO63" s="228"/>
      <c r="EVP63" s="228"/>
      <c r="EVQ63" s="228"/>
      <c r="EVR63" s="228"/>
      <c r="EVS63" s="226"/>
      <c r="EVT63" s="226"/>
      <c r="EVU63" s="224"/>
      <c r="EVV63" s="225"/>
      <c r="EVW63" s="226"/>
      <c r="EVX63" s="227"/>
      <c r="EVY63" s="228"/>
      <c r="EVZ63" s="228"/>
      <c r="EWA63" s="228"/>
      <c r="EWB63" s="228"/>
      <c r="EWC63" s="228"/>
      <c r="EWD63" s="228"/>
      <c r="EWE63" s="226"/>
      <c r="EWF63" s="226"/>
      <c r="EWG63" s="224"/>
      <c r="EWH63" s="225"/>
      <c r="EWI63" s="226"/>
      <c r="EWJ63" s="227"/>
      <c r="EWK63" s="228"/>
      <c r="EWL63" s="228"/>
      <c r="EWM63" s="228"/>
      <c r="EWN63" s="228"/>
      <c r="EWO63" s="228"/>
      <c r="EWP63" s="228"/>
      <c r="EWQ63" s="226"/>
      <c r="EWR63" s="226"/>
      <c r="EWS63" s="224"/>
      <c r="EWT63" s="225"/>
      <c r="EWU63" s="226"/>
      <c r="EWV63" s="227"/>
      <c r="EWW63" s="228"/>
      <c r="EWX63" s="228"/>
      <c r="EWY63" s="228"/>
      <c r="EWZ63" s="228"/>
      <c r="EXA63" s="228"/>
      <c r="EXB63" s="228"/>
      <c r="EXC63" s="226"/>
      <c r="EXD63" s="226"/>
      <c r="EXE63" s="224"/>
      <c r="EXF63" s="225"/>
      <c r="EXG63" s="226"/>
      <c r="EXH63" s="227"/>
      <c r="EXI63" s="228"/>
      <c r="EXJ63" s="228"/>
      <c r="EXK63" s="228"/>
      <c r="EXL63" s="228"/>
      <c r="EXM63" s="228"/>
      <c r="EXN63" s="228"/>
      <c r="EXO63" s="226"/>
      <c r="EXP63" s="226"/>
      <c r="EXQ63" s="224"/>
      <c r="EXR63" s="225"/>
      <c r="EXS63" s="226"/>
      <c r="EXT63" s="227"/>
      <c r="EXU63" s="228"/>
      <c r="EXV63" s="228"/>
      <c r="EXW63" s="228"/>
      <c r="EXX63" s="228"/>
      <c r="EXY63" s="228"/>
      <c r="EXZ63" s="228"/>
      <c r="EYA63" s="226"/>
      <c r="EYB63" s="226"/>
      <c r="EYC63" s="224"/>
      <c r="EYD63" s="225"/>
      <c r="EYE63" s="226"/>
      <c r="EYF63" s="227"/>
      <c r="EYG63" s="228"/>
      <c r="EYH63" s="228"/>
      <c r="EYI63" s="228"/>
      <c r="EYJ63" s="228"/>
      <c r="EYK63" s="228"/>
      <c r="EYL63" s="228"/>
      <c r="EYM63" s="226"/>
      <c r="EYN63" s="226"/>
      <c r="EYO63" s="224"/>
      <c r="EYP63" s="225"/>
      <c r="EYQ63" s="226"/>
      <c r="EYR63" s="227"/>
      <c r="EYS63" s="228"/>
      <c r="EYT63" s="228"/>
      <c r="EYU63" s="228"/>
      <c r="EYV63" s="228"/>
      <c r="EYW63" s="228"/>
      <c r="EYX63" s="228"/>
      <c r="EYY63" s="226"/>
      <c r="EYZ63" s="226"/>
      <c r="EZA63" s="224"/>
      <c r="EZB63" s="225"/>
      <c r="EZC63" s="226"/>
      <c r="EZD63" s="227"/>
      <c r="EZE63" s="228"/>
      <c r="EZF63" s="228"/>
      <c r="EZG63" s="228"/>
      <c r="EZH63" s="228"/>
      <c r="EZI63" s="228"/>
      <c r="EZJ63" s="228"/>
      <c r="EZK63" s="226"/>
      <c r="EZL63" s="226"/>
      <c r="EZM63" s="224"/>
      <c r="EZN63" s="225"/>
      <c r="EZO63" s="226"/>
      <c r="EZP63" s="227"/>
      <c r="EZQ63" s="228"/>
      <c r="EZR63" s="228"/>
      <c r="EZS63" s="228"/>
      <c r="EZT63" s="228"/>
      <c r="EZU63" s="228"/>
      <c r="EZV63" s="228"/>
      <c r="EZW63" s="226"/>
      <c r="EZX63" s="226"/>
      <c r="EZY63" s="224"/>
      <c r="EZZ63" s="225"/>
      <c r="FAA63" s="226"/>
      <c r="FAB63" s="227"/>
      <c r="FAC63" s="228"/>
      <c r="FAD63" s="228"/>
      <c r="FAE63" s="228"/>
      <c r="FAF63" s="228"/>
      <c r="FAG63" s="228"/>
      <c r="FAH63" s="228"/>
      <c r="FAI63" s="226"/>
      <c r="FAJ63" s="226"/>
      <c r="FAK63" s="224"/>
      <c r="FAL63" s="225"/>
      <c r="FAM63" s="226"/>
      <c r="FAN63" s="227"/>
      <c r="FAO63" s="228"/>
      <c r="FAP63" s="228"/>
      <c r="FAQ63" s="228"/>
      <c r="FAR63" s="228"/>
      <c r="FAS63" s="228"/>
      <c r="FAT63" s="228"/>
      <c r="FAU63" s="226"/>
      <c r="FAV63" s="226"/>
      <c r="FAW63" s="224"/>
      <c r="FAX63" s="225"/>
      <c r="FAY63" s="226"/>
      <c r="FAZ63" s="227"/>
      <c r="FBA63" s="228"/>
      <c r="FBB63" s="228"/>
      <c r="FBC63" s="228"/>
      <c r="FBD63" s="228"/>
      <c r="FBE63" s="228"/>
      <c r="FBF63" s="228"/>
      <c r="FBG63" s="226"/>
      <c r="FBH63" s="226"/>
      <c r="FBI63" s="224"/>
      <c r="FBJ63" s="225"/>
      <c r="FBK63" s="226"/>
      <c r="FBL63" s="227"/>
      <c r="FBM63" s="228"/>
      <c r="FBN63" s="228"/>
      <c r="FBO63" s="228"/>
      <c r="FBP63" s="228"/>
      <c r="FBQ63" s="228"/>
      <c r="FBR63" s="228"/>
      <c r="FBS63" s="226"/>
      <c r="FBT63" s="226"/>
      <c r="FBU63" s="224"/>
      <c r="FBV63" s="225"/>
      <c r="FBW63" s="226"/>
      <c r="FBX63" s="227"/>
      <c r="FBY63" s="228"/>
      <c r="FBZ63" s="228"/>
      <c r="FCA63" s="228"/>
      <c r="FCB63" s="228"/>
      <c r="FCC63" s="228"/>
      <c r="FCD63" s="228"/>
      <c r="FCE63" s="226"/>
      <c r="FCF63" s="226"/>
      <c r="FCG63" s="224"/>
      <c r="FCH63" s="225"/>
      <c r="FCI63" s="226"/>
      <c r="FCJ63" s="227"/>
      <c r="FCK63" s="228"/>
      <c r="FCL63" s="228"/>
      <c r="FCM63" s="228"/>
      <c r="FCN63" s="228"/>
      <c r="FCO63" s="228"/>
      <c r="FCP63" s="228"/>
      <c r="FCQ63" s="226"/>
      <c r="FCR63" s="226"/>
      <c r="FCS63" s="224"/>
      <c r="FCT63" s="225"/>
      <c r="FCU63" s="226"/>
      <c r="FCV63" s="227"/>
      <c r="FCW63" s="228"/>
      <c r="FCX63" s="228"/>
      <c r="FCY63" s="228"/>
      <c r="FCZ63" s="228"/>
      <c r="FDA63" s="228"/>
      <c r="FDB63" s="228"/>
      <c r="FDC63" s="226"/>
      <c r="FDD63" s="226"/>
      <c r="FDE63" s="224"/>
      <c r="FDF63" s="225"/>
      <c r="FDG63" s="226"/>
      <c r="FDH63" s="227"/>
      <c r="FDI63" s="228"/>
      <c r="FDJ63" s="228"/>
      <c r="FDK63" s="228"/>
      <c r="FDL63" s="228"/>
      <c r="FDM63" s="228"/>
      <c r="FDN63" s="228"/>
      <c r="FDO63" s="226"/>
      <c r="FDP63" s="226"/>
      <c r="FDQ63" s="224"/>
      <c r="FDR63" s="225"/>
      <c r="FDS63" s="226"/>
      <c r="FDT63" s="227"/>
      <c r="FDU63" s="228"/>
      <c r="FDV63" s="228"/>
      <c r="FDW63" s="228"/>
      <c r="FDX63" s="228"/>
      <c r="FDY63" s="228"/>
      <c r="FDZ63" s="228"/>
      <c r="FEA63" s="226"/>
      <c r="FEB63" s="226"/>
      <c r="FEC63" s="224"/>
      <c r="FED63" s="225"/>
      <c r="FEE63" s="226"/>
      <c r="FEF63" s="227"/>
      <c r="FEG63" s="228"/>
      <c r="FEH63" s="228"/>
      <c r="FEI63" s="228"/>
      <c r="FEJ63" s="228"/>
      <c r="FEK63" s="228"/>
      <c r="FEL63" s="228"/>
      <c r="FEM63" s="226"/>
      <c r="FEN63" s="226"/>
      <c r="FEO63" s="224"/>
      <c r="FEP63" s="225"/>
      <c r="FEQ63" s="226"/>
      <c r="FER63" s="227"/>
      <c r="FES63" s="228"/>
      <c r="FET63" s="228"/>
      <c r="FEU63" s="228"/>
      <c r="FEV63" s="228"/>
      <c r="FEW63" s="228"/>
      <c r="FEX63" s="228"/>
      <c r="FEY63" s="226"/>
      <c r="FEZ63" s="226"/>
      <c r="FFA63" s="224"/>
      <c r="FFB63" s="225"/>
      <c r="FFC63" s="226"/>
      <c r="FFD63" s="227"/>
      <c r="FFE63" s="228"/>
      <c r="FFF63" s="228"/>
      <c r="FFG63" s="228"/>
      <c r="FFH63" s="228"/>
      <c r="FFI63" s="228"/>
      <c r="FFJ63" s="228"/>
      <c r="FFK63" s="226"/>
      <c r="FFL63" s="226"/>
      <c r="FFM63" s="224"/>
      <c r="FFN63" s="225"/>
      <c r="FFO63" s="226"/>
      <c r="FFP63" s="227"/>
      <c r="FFQ63" s="228"/>
      <c r="FFR63" s="228"/>
      <c r="FFS63" s="228"/>
      <c r="FFT63" s="228"/>
      <c r="FFU63" s="228"/>
      <c r="FFV63" s="228"/>
      <c r="FFW63" s="226"/>
      <c r="FFX63" s="226"/>
      <c r="FFY63" s="224"/>
      <c r="FFZ63" s="225"/>
      <c r="FGA63" s="226"/>
      <c r="FGB63" s="227"/>
      <c r="FGC63" s="228"/>
      <c r="FGD63" s="228"/>
      <c r="FGE63" s="228"/>
      <c r="FGF63" s="228"/>
      <c r="FGG63" s="228"/>
      <c r="FGH63" s="228"/>
      <c r="FGI63" s="226"/>
      <c r="FGJ63" s="226"/>
      <c r="FGK63" s="224"/>
      <c r="FGL63" s="225"/>
      <c r="FGM63" s="226"/>
      <c r="FGN63" s="227"/>
      <c r="FGO63" s="228"/>
      <c r="FGP63" s="228"/>
      <c r="FGQ63" s="228"/>
      <c r="FGR63" s="228"/>
      <c r="FGS63" s="228"/>
      <c r="FGT63" s="228"/>
      <c r="FGU63" s="226"/>
      <c r="FGV63" s="226"/>
      <c r="FGW63" s="224"/>
      <c r="FGX63" s="225"/>
      <c r="FGY63" s="226"/>
      <c r="FGZ63" s="227"/>
      <c r="FHA63" s="228"/>
      <c r="FHB63" s="228"/>
      <c r="FHC63" s="228"/>
      <c r="FHD63" s="228"/>
      <c r="FHE63" s="228"/>
      <c r="FHF63" s="228"/>
      <c r="FHG63" s="226"/>
      <c r="FHH63" s="226"/>
      <c r="FHI63" s="224"/>
      <c r="FHJ63" s="225"/>
      <c r="FHK63" s="226"/>
      <c r="FHL63" s="227"/>
      <c r="FHM63" s="228"/>
      <c r="FHN63" s="228"/>
      <c r="FHO63" s="228"/>
      <c r="FHP63" s="228"/>
      <c r="FHQ63" s="228"/>
      <c r="FHR63" s="228"/>
      <c r="FHS63" s="226"/>
      <c r="FHT63" s="226"/>
      <c r="FHU63" s="224"/>
      <c r="FHV63" s="225"/>
      <c r="FHW63" s="226"/>
      <c r="FHX63" s="227"/>
      <c r="FHY63" s="228"/>
      <c r="FHZ63" s="228"/>
      <c r="FIA63" s="228"/>
      <c r="FIB63" s="228"/>
      <c r="FIC63" s="228"/>
      <c r="FID63" s="228"/>
      <c r="FIE63" s="226"/>
      <c r="FIF63" s="226"/>
      <c r="FIG63" s="224"/>
      <c r="FIH63" s="225"/>
      <c r="FII63" s="226"/>
      <c r="FIJ63" s="227"/>
      <c r="FIK63" s="228"/>
      <c r="FIL63" s="228"/>
      <c r="FIM63" s="228"/>
      <c r="FIN63" s="228"/>
      <c r="FIO63" s="228"/>
      <c r="FIP63" s="228"/>
      <c r="FIQ63" s="226"/>
      <c r="FIR63" s="226"/>
      <c r="FIS63" s="224"/>
      <c r="FIT63" s="225"/>
      <c r="FIU63" s="226"/>
      <c r="FIV63" s="227"/>
      <c r="FIW63" s="228"/>
      <c r="FIX63" s="228"/>
      <c r="FIY63" s="228"/>
      <c r="FIZ63" s="228"/>
      <c r="FJA63" s="228"/>
      <c r="FJB63" s="228"/>
      <c r="FJC63" s="226"/>
      <c r="FJD63" s="226"/>
      <c r="FJE63" s="224"/>
      <c r="FJF63" s="225"/>
      <c r="FJG63" s="226"/>
      <c r="FJH63" s="227"/>
      <c r="FJI63" s="228"/>
      <c r="FJJ63" s="228"/>
      <c r="FJK63" s="228"/>
      <c r="FJL63" s="228"/>
      <c r="FJM63" s="228"/>
      <c r="FJN63" s="228"/>
      <c r="FJO63" s="226"/>
      <c r="FJP63" s="226"/>
      <c r="FJQ63" s="224"/>
      <c r="FJR63" s="225"/>
      <c r="FJS63" s="226"/>
      <c r="FJT63" s="227"/>
      <c r="FJU63" s="228"/>
      <c r="FJV63" s="228"/>
      <c r="FJW63" s="228"/>
      <c r="FJX63" s="228"/>
      <c r="FJY63" s="228"/>
      <c r="FJZ63" s="228"/>
      <c r="FKA63" s="226"/>
      <c r="FKB63" s="226"/>
      <c r="FKC63" s="224"/>
      <c r="FKD63" s="225"/>
      <c r="FKE63" s="226"/>
      <c r="FKF63" s="227"/>
      <c r="FKG63" s="228"/>
      <c r="FKH63" s="228"/>
      <c r="FKI63" s="228"/>
      <c r="FKJ63" s="228"/>
      <c r="FKK63" s="228"/>
      <c r="FKL63" s="228"/>
      <c r="FKM63" s="226"/>
      <c r="FKN63" s="226"/>
      <c r="FKO63" s="224"/>
      <c r="FKP63" s="225"/>
      <c r="FKQ63" s="226"/>
      <c r="FKR63" s="227"/>
      <c r="FKS63" s="228"/>
      <c r="FKT63" s="228"/>
      <c r="FKU63" s="228"/>
      <c r="FKV63" s="228"/>
      <c r="FKW63" s="228"/>
      <c r="FKX63" s="228"/>
      <c r="FKY63" s="226"/>
      <c r="FKZ63" s="226"/>
      <c r="FLA63" s="224"/>
      <c r="FLB63" s="225"/>
      <c r="FLC63" s="226"/>
      <c r="FLD63" s="227"/>
      <c r="FLE63" s="228"/>
      <c r="FLF63" s="228"/>
      <c r="FLG63" s="228"/>
      <c r="FLH63" s="228"/>
      <c r="FLI63" s="228"/>
      <c r="FLJ63" s="228"/>
      <c r="FLK63" s="226"/>
      <c r="FLL63" s="226"/>
      <c r="FLM63" s="224"/>
      <c r="FLN63" s="225"/>
      <c r="FLO63" s="226"/>
      <c r="FLP63" s="227"/>
      <c r="FLQ63" s="228"/>
      <c r="FLR63" s="228"/>
      <c r="FLS63" s="228"/>
      <c r="FLT63" s="228"/>
      <c r="FLU63" s="228"/>
      <c r="FLV63" s="228"/>
      <c r="FLW63" s="226"/>
      <c r="FLX63" s="226"/>
      <c r="FLY63" s="224"/>
      <c r="FLZ63" s="225"/>
      <c r="FMA63" s="226"/>
      <c r="FMB63" s="227"/>
      <c r="FMC63" s="228"/>
      <c r="FMD63" s="228"/>
      <c r="FME63" s="228"/>
      <c r="FMF63" s="228"/>
      <c r="FMG63" s="228"/>
      <c r="FMH63" s="228"/>
      <c r="FMI63" s="226"/>
      <c r="FMJ63" s="226"/>
      <c r="FMK63" s="224"/>
      <c r="FML63" s="225"/>
      <c r="FMM63" s="226"/>
      <c r="FMN63" s="227"/>
      <c r="FMO63" s="228"/>
      <c r="FMP63" s="228"/>
      <c r="FMQ63" s="228"/>
      <c r="FMR63" s="228"/>
      <c r="FMS63" s="228"/>
      <c r="FMT63" s="228"/>
      <c r="FMU63" s="226"/>
      <c r="FMV63" s="226"/>
      <c r="FMW63" s="224"/>
      <c r="FMX63" s="225"/>
      <c r="FMY63" s="226"/>
      <c r="FMZ63" s="227"/>
      <c r="FNA63" s="228"/>
      <c r="FNB63" s="228"/>
      <c r="FNC63" s="228"/>
      <c r="FND63" s="228"/>
      <c r="FNE63" s="228"/>
      <c r="FNF63" s="228"/>
      <c r="FNG63" s="226"/>
      <c r="FNH63" s="226"/>
      <c r="FNI63" s="224"/>
      <c r="FNJ63" s="225"/>
      <c r="FNK63" s="226"/>
      <c r="FNL63" s="227"/>
      <c r="FNM63" s="228"/>
      <c r="FNN63" s="228"/>
      <c r="FNO63" s="228"/>
      <c r="FNP63" s="228"/>
      <c r="FNQ63" s="228"/>
      <c r="FNR63" s="228"/>
      <c r="FNS63" s="226"/>
      <c r="FNT63" s="226"/>
      <c r="FNU63" s="224"/>
      <c r="FNV63" s="225"/>
      <c r="FNW63" s="226"/>
      <c r="FNX63" s="227"/>
      <c r="FNY63" s="228"/>
      <c r="FNZ63" s="228"/>
      <c r="FOA63" s="228"/>
      <c r="FOB63" s="228"/>
      <c r="FOC63" s="228"/>
      <c r="FOD63" s="228"/>
      <c r="FOE63" s="226"/>
      <c r="FOF63" s="226"/>
      <c r="FOG63" s="224"/>
      <c r="FOH63" s="225"/>
      <c r="FOI63" s="226"/>
      <c r="FOJ63" s="227"/>
      <c r="FOK63" s="228"/>
      <c r="FOL63" s="228"/>
      <c r="FOM63" s="228"/>
      <c r="FON63" s="228"/>
      <c r="FOO63" s="228"/>
      <c r="FOP63" s="228"/>
      <c r="FOQ63" s="226"/>
      <c r="FOR63" s="226"/>
      <c r="FOS63" s="224"/>
      <c r="FOT63" s="225"/>
      <c r="FOU63" s="226"/>
      <c r="FOV63" s="227"/>
      <c r="FOW63" s="228"/>
      <c r="FOX63" s="228"/>
      <c r="FOY63" s="228"/>
      <c r="FOZ63" s="228"/>
      <c r="FPA63" s="228"/>
      <c r="FPB63" s="228"/>
      <c r="FPC63" s="226"/>
      <c r="FPD63" s="226"/>
      <c r="FPE63" s="224"/>
      <c r="FPF63" s="225"/>
      <c r="FPG63" s="226"/>
      <c r="FPH63" s="227"/>
      <c r="FPI63" s="228"/>
      <c r="FPJ63" s="228"/>
      <c r="FPK63" s="228"/>
      <c r="FPL63" s="228"/>
      <c r="FPM63" s="228"/>
      <c r="FPN63" s="228"/>
      <c r="FPO63" s="226"/>
      <c r="FPP63" s="226"/>
      <c r="FPQ63" s="224"/>
      <c r="FPR63" s="225"/>
      <c r="FPS63" s="226"/>
      <c r="FPT63" s="227"/>
      <c r="FPU63" s="228"/>
      <c r="FPV63" s="228"/>
      <c r="FPW63" s="228"/>
      <c r="FPX63" s="228"/>
      <c r="FPY63" s="228"/>
      <c r="FPZ63" s="228"/>
      <c r="FQA63" s="226"/>
      <c r="FQB63" s="226"/>
      <c r="FQC63" s="224"/>
      <c r="FQD63" s="225"/>
      <c r="FQE63" s="226"/>
      <c r="FQF63" s="227"/>
      <c r="FQG63" s="228"/>
      <c r="FQH63" s="228"/>
      <c r="FQI63" s="228"/>
      <c r="FQJ63" s="228"/>
      <c r="FQK63" s="228"/>
      <c r="FQL63" s="228"/>
      <c r="FQM63" s="226"/>
      <c r="FQN63" s="226"/>
      <c r="FQO63" s="224"/>
      <c r="FQP63" s="225"/>
      <c r="FQQ63" s="226"/>
      <c r="FQR63" s="227"/>
      <c r="FQS63" s="228"/>
      <c r="FQT63" s="228"/>
      <c r="FQU63" s="228"/>
      <c r="FQV63" s="228"/>
      <c r="FQW63" s="228"/>
      <c r="FQX63" s="228"/>
      <c r="FQY63" s="226"/>
      <c r="FQZ63" s="226"/>
      <c r="FRA63" s="224"/>
      <c r="FRB63" s="225"/>
      <c r="FRC63" s="226"/>
      <c r="FRD63" s="227"/>
      <c r="FRE63" s="228"/>
      <c r="FRF63" s="228"/>
      <c r="FRG63" s="228"/>
      <c r="FRH63" s="228"/>
      <c r="FRI63" s="228"/>
      <c r="FRJ63" s="228"/>
      <c r="FRK63" s="226"/>
      <c r="FRL63" s="226"/>
      <c r="FRM63" s="224"/>
      <c r="FRN63" s="225"/>
      <c r="FRO63" s="226"/>
      <c r="FRP63" s="227"/>
      <c r="FRQ63" s="228"/>
      <c r="FRR63" s="228"/>
      <c r="FRS63" s="228"/>
      <c r="FRT63" s="228"/>
      <c r="FRU63" s="228"/>
      <c r="FRV63" s="228"/>
      <c r="FRW63" s="226"/>
      <c r="FRX63" s="226"/>
      <c r="FRY63" s="224"/>
      <c r="FRZ63" s="225"/>
      <c r="FSA63" s="226"/>
      <c r="FSB63" s="227"/>
      <c r="FSC63" s="228"/>
      <c r="FSD63" s="228"/>
      <c r="FSE63" s="228"/>
      <c r="FSF63" s="228"/>
      <c r="FSG63" s="228"/>
      <c r="FSH63" s="228"/>
      <c r="FSI63" s="226"/>
      <c r="FSJ63" s="226"/>
      <c r="FSK63" s="224"/>
      <c r="FSL63" s="225"/>
      <c r="FSM63" s="226"/>
      <c r="FSN63" s="227"/>
      <c r="FSO63" s="228"/>
      <c r="FSP63" s="228"/>
      <c r="FSQ63" s="228"/>
      <c r="FSR63" s="228"/>
      <c r="FSS63" s="228"/>
      <c r="FST63" s="228"/>
      <c r="FSU63" s="226"/>
      <c r="FSV63" s="226"/>
      <c r="FSW63" s="224"/>
      <c r="FSX63" s="225"/>
      <c r="FSY63" s="226"/>
      <c r="FSZ63" s="227"/>
      <c r="FTA63" s="228"/>
      <c r="FTB63" s="228"/>
      <c r="FTC63" s="228"/>
      <c r="FTD63" s="228"/>
      <c r="FTE63" s="228"/>
      <c r="FTF63" s="228"/>
      <c r="FTG63" s="226"/>
      <c r="FTH63" s="226"/>
      <c r="FTI63" s="224"/>
      <c r="FTJ63" s="225"/>
      <c r="FTK63" s="226"/>
      <c r="FTL63" s="227"/>
      <c r="FTM63" s="228"/>
      <c r="FTN63" s="228"/>
      <c r="FTO63" s="228"/>
      <c r="FTP63" s="228"/>
      <c r="FTQ63" s="228"/>
      <c r="FTR63" s="228"/>
      <c r="FTS63" s="226"/>
      <c r="FTT63" s="226"/>
      <c r="FTU63" s="224"/>
      <c r="FTV63" s="225"/>
      <c r="FTW63" s="226"/>
      <c r="FTX63" s="227"/>
      <c r="FTY63" s="228"/>
      <c r="FTZ63" s="228"/>
      <c r="FUA63" s="228"/>
      <c r="FUB63" s="228"/>
      <c r="FUC63" s="228"/>
      <c r="FUD63" s="228"/>
      <c r="FUE63" s="226"/>
      <c r="FUF63" s="226"/>
      <c r="FUG63" s="224"/>
      <c r="FUH63" s="225"/>
      <c r="FUI63" s="226"/>
      <c r="FUJ63" s="227"/>
      <c r="FUK63" s="228"/>
      <c r="FUL63" s="228"/>
      <c r="FUM63" s="228"/>
      <c r="FUN63" s="228"/>
      <c r="FUO63" s="228"/>
      <c r="FUP63" s="228"/>
      <c r="FUQ63" s="226"/>
      <c r="FUR63" s="226"/>
      <c r="FUS63" s="224"/>
      <c r="FUT63" s="225"/>
      <c r="FUU63" s="226"/>
      <c r="FUV63" s="227"/>
      <c r="FUW63" s="228"/>
      <c r="FUX63" s="228"/>
      <c r="FUY63" s="228"/>
      <c r="FUZ63" s="228"/>
      <c r="FVA63" s="228"/>
      <c r="FVB63" s="228"/>
      <c r="FVC63" s="226"/>
      <c r="FVD63" s="226"/>
      <c r="FVE63" s="224"/>
      <c r="FVF63" s="225"/>
      <c r="FVG63" s="226"/>
      <c r="FVH63" s="227"/>
      <c r="FVI63" s="228"/>
      <c r="FVJ63" s="228"/>
      <c r="FVK63" s="228"/>
      <c r="FVL63" s="228"/>
      <c r="FVM63" s="228"/>
      <c r="FVN63" s="228"/>
      <c r="FVO63" s="226"/>
      <c r="FVP63" s="226"/>
      <c r="FVQ63" s="224"/>
      <c r="FVR63" s="225"/>
      <c r="FVS63" s="226"/>
      <c r="FVT63" s="227"/>
      <c r="FVU63" s="228"/>
      <c r="FVV63" s="228"/>
      <c r="FVW63" s="228"/>
      <c r="FVX63" s="228"/>
      <c r="FVY63" s="228"/>
      <c r="FVZ63" s="228"/>
      <c r="FWA63" s="226"/>
      <c r="FWB63" s="226"/>
      <c r="FWC63" s="224"/>
      <c r="FWD63" s="225"/>
      <c r="FWE63" s="226"/>
      <c r="FWF63" s="227"/>
      <c r="FWG63" s="228"/>
      <c r="FWH63" s="228"/>
      <c r="FWI63" s="228"/>
      <c r="FWJ63" s="228"/>
      <c r="FWK63" s="228"/>
      <c r="FWL63" s="228"/>
      <c r="FWM63" s="226"/>
      <c r="FWN63" s="226"/>
      <c r="FWO63" s="224"/>
      <c r="FWP63" s="225"/>
      <c r="FWQ63" s="226"/>
      <c r="FWR63" s="227"/>
      <c r="FWS63" s="228"/>
      <c r="FWT63" s="228"/>
      <c r="FWU63" s="228"/>
      <c r="FWV63" s="228"/>
      <c r="FWW63" s="228"/>
      <c r="FWX63" s="228"/>
      <c r="FWY63" s="226"/>
      <c r="FWZ63" s="226"/>
      <c r="FXA63" s="224"/>
      <c r="FXB63" s="225"/>
      <c r="FXC63" s="226"/>
      <c r="FXD63" s="227"/>
      <c r="FXE63" s="228"/>
      <c r="FXF63" s="228"/>
      <c r="FXG63" s="228"/>
      <c r="FXH63" s="228"/>
      <c r="FXI63" s="228"/>
      <c r="FXJ63" s="228"/>
      <c r="FXK63" s="226"/>
      <c r="FXL63" s="226"/>
      <c r="FXM63" s="224"/>
      <c r="FXN63" s="225"/>
      <c r="FXO63" s="226"/>
      <c r="FXP63" s="227"/>
      <c r="FXQ63" s="228"/>
      <c r="FXR63" s="228"/>
      <c r="FXS63" s="228"/>
      <c r="FXT63" s="228"/>
      <c r="FXU63" s="228"/>
      <c r="FXV63" s="228"/>
      <c r="FXW63" s="226"/>
      <c r="FXX63" s="226"/>
      <c r="FXY63" s="224"/>
      <c r="FXZ63" s="225"/>
      <c r="FYA63" s="226"/>
      <c r="FYB63" s="227"/>
      <c r="FYC63" s="228"/>
      <c r="FYD63" s="228"/>
      <c r="FYE63" s="228"/>
      <c r="FYF63" s="228"/>
      <c r="FYG63" s="228"/>
      <c r="FYH63" s="228"/>
      <c r="FYI63" s="226"/>
      <c r="FYJ63" s="226"/>
      <c r="FYK63" s="224"/>
      <c r="FYL63" s="225"/>
      <c r="FYM63" s="226"/>
      <c r="FYN63" s="227"/>
      <c r="FYO63" s="228"/>
      <c r="FYP63" s="228"/>
      <c r="FYQ63" s="228"/>
      <c r="FYR63" s="228"/>
      <c r="FYS63" s="228"/>
      <c r="FYT63" s="228"/>
      <c r="FYU63" s="226"/>
      <c r="FYV63" s="226"/>
      <c r="FYW63" s="224"/>
      <c r="FYX63" s="225"/>
      <c r="FYY63" s="226"/>
      <c r="FYZ63" s="227"/>
      <c r="FZA63" s="228"/>
      <c r="FZB63" s="228"/>
      <c r="FZC63" s="228"/>
      <c r="FZD63" s="228"/>
      <c r="FZE63" s="228"/>
      <c r="FZF63" s="228"/>
      <c r="FZG63" s="226"/>
      <c r="FZH63" s="226"/>
      <c r="FZI63" s="224"/>
      <c r="FZJ63" s="225"/>
      <c r="FZK63" s="226"/>
      <c r="FZL63" s="227"/>
      <c r="FZM63" s="228"/>
      <c r="FZN63" s="228"/>
      <c r="FZO63" s="228"/>
      <c r="FZP63" s="228"/>
      <c r="FZQ63" s="228"/>
      <c r="FZR63" s="228"/>
      <c r="FZS63" s="226"/>
      <c r="FZT63" s="226"/>
      <c r="FZU63" s="224"/>
      <c r="FZV63" s="225"/>
      <c r="FZW63" s="226"/>
      <c r="FZX63" s="227"/>
      <c r="FZY63" s="228"/>
      <c r="FZZ63" s="228"/>
      <c r="GAA63" s="228"/>
      <c r="GAB63" s="228"/>
      <c r="GAC63" s="228"/>
      <c r="GAD63" s="228"/>
      <c r="GAE63" s="226"/>
      <c r="GAF63" s="226"/>
      <c r="GAG63" s="224"/>
      <c r="GAH63" s="225"/>
      <c r="GAI63" s="226"/>
      <c r="GAJ63" s="227"/>
      <c r="GAK63" s="228"/>
      <c r="GAL63" s="228"/>
      <c r="GAM63" s="228"/>
      <c r="GAN63" s="228"/>
      <c r="GAO63" s="228"/>
      <c r="GAP63" s="228"/>
      <c r="GAQ63" s="226"/>
      <c r="GAR63" s="226"/>
      <c r="GAS63" s="224"/>
      <c r="GAT63" s="225"/>
      <c r="GAU63" s="226"/>
      <c r="GAV63" s="227"/>
      <c r="GAW63" s="228"/>
      <c r="GAX63" s="228"/>
      <c r="GAY63" s="228"/>
      <c r="GAZ63" s="228"/>
      <c r="GBA63" s="228"/>
      <c r="GBB63" s="228"/>
      <c r="GBC63" s="226"/>
      <c r="GBD63" s="226"/>
      <c r="GBE63" s="224"/>
      <c r="GBF63" s="225"/>
      <c r="GBG63" s="226"/>
      <c r="GBH63" s="227"/>
      <c r="GBI63" s="228"/>
      <c r="GBJ63" s="228"/>
      <c r="GBK63" s="228"/>
      <c r="GBL63" s="228"/>
      <c r="GBM63" s="228"/>
      <c r="GBN63" s="228"/>
      <c r="GBO63" s="226"/>
      <c r="GBP63" s="226"/>
      <c r="GBQ63" s="224"/>
      <c r="GBR63" s="225"/>
      <c r="GBS63" s="226"/>
      <c r="GBT63" s="227"/>
      <c r="GBU63" s="228"/>
      <c r="GBV63" s="228"/>
      <c r="GBW63" s="228"/>
      <c r="GBX63" s="228"/>
      <c r="GBY63" s="228"/>
      <c r="GBZ63" s="228"/>
      <c r="GCA63" s="226"/>
      <c r="GCB63" s="226"/>
      <c r="GCC63" s="224"/>
      <c r="GCD63" s="225"/>
      <c r="GCE63" s="226"/>
      <c r="GCF63" s="227"/>
      <c r="GCG63" s="228"/>
      <c r="GCH63" s="228"/>
      <c r="GCI63" s="228"/>
      <c r="GCJ63" s="228"/>
      <c r="GCK63" s="228"/>
      <c r="GCL63" s="228"/>
      <c r="GCM63" s="226"/>
      <c r="GCN63" s="226"/>
      <c r="GCO63" s="224"/>
      <c r="GCP63" s="225"/>
      <c r="GCQ63" s="226"/>
      <c r="GCR63" s="227"/>
      <c r="GCS63" s="228"/>
      <c r="GCT63" s="228"/>
      <c r="GCU63" s="228"/>
      <c r="GCV63" s="228"/>
      <c r="GCW63" s="228"/>
      <c r="GCX63" s="228"/>
      <c r="GCY63" s="226"/>
      <c r="GCZ63" s="226"/>
      <c r="GDA63" s="224"/>
      <c r="GDB63" s="225"/>
      <c r="GDC63" s="226"/>
      <c r="GDD63" s="227"/>
      <c r="GDE63" s="228"/>
      <c r="GDF63" s="228"/>
      <c r="GDG63" s="228"/>
      <c r="GDH63" s="228"/>
      <c r="GDI63" s="228"/>
      <c r="GDJ63" s="228"/>
      <c r="GDK63" s="226"/>
      <c r="GDL63" s="226"/>
      <c r="GDM63" s="224"/>
      <c r="GDN63" s="225"/>
      <c r="GDO63" s="226"/>
      <c r="GDP63" s="227"/>
      <c r="GDQ63" s="228"/>
      <c r="GDR63" s="228"/>
      <c r="GDS63" s="228"/>
      <c r="GDT63" s="228"/>
      <c r="GDU63" s="228"/>
      <c r="GDV63" s="228"/>
      <c r="GDW63" s="226"/>
      <c r="GDX63" s="226"/>
      <c r="GDY63" s="224"/>
      <c r="GDZ63" s="225"/>
      <c r="GEA63" s="226"/>
      <c r="GEB63" s="227"/>
      <c r="GEC63" s="228"/>
      <c r="GED63" s="228"/>
      <c r="GEE63" s="228"/>
      <c r="GEF63" s="228"/>
      <c r="GEG63" s="228"/>
      <c r="GEH63" s="228"/>
      <c r="GEI63" s="226"/>
      <c r="GEJ63" s="226"/>
      <c r="GEK63" s="224"/>
      <c r="GEL63" s="225"/>
      <c r="GEM63" s="226"/>
      <c r="GEN63" s="227"/>
      <c r="GEO63" s="228"/>
      <c r="GEP63" s="228"/>
      <c r="GEQ63" s="228"/>
      <c r="GER63" s="228"/>
      <c r="GES63" s="228"/>
      <c r="GET63" s="228"/>
      <c r="GEU63" s="226"/>
      <c r="GEV63" s="226"/>
      <c r="GEW63" s="224"/>
      <c r="GEX63" s="225"/>
      <c r="GEY63" s="226"/>
      <c r="GEZ63" s="227"/>
      <c r="GFA63" s="228"/>
      <c r="GFB63" s="228"/>
      <c r="GFC63" s="228"/>
      <c r="GFD63" s="228"/>
      <c r="GFE63" s="228"/>
      <c r="GFF63" s="228"/>
      <c r="GFG63" s="226"/>
      <c r="GFH63" s="226"/>
      <c r="GFI63" s="224"/>
      <c r="GFJ63" s="225"/>
      <c r="GFK63" s="226"/>
      <c r="GFL63" s="227"/>
      <c r="GFM63" s="228"/>
      <c r="GFN63" s="228"/>
      <c r="GFO63" s="228"/>
      <c r="GFP63" s="228"/>
      <c r="GFQ63" s="228"/>
      <c r="GFR63" s="228"/>
      <c r="GFS63" s="226"/>
      <c r="GFT63" s="226"/>
      <c r="GFU63" s="224"/>
      <c r="GFV63" s="225"/>
      <c r="GFW63" s="226"/>
      <c r="GFX63" s="227"/>
      <c r="GFY63" s="228"/>
      <c r="GFZ63" s="228"/>
      <c r="GGA63" s="228"/>
      <c r="GGB63" s="228"/>
      <c r="GGC63" s="228"/>
      <c r="GGD63" s="228"/>
      <c r="GGE63" s="226"/>
      <c r="GGF63" s="226"/>
      <c r="GGG63" s="224"/>
      <c r="GGH63" s="225"/>
      <c r="GGI63" s="226"/>
      <c r="GGJ63" s="227"/>
      <c r="GGK63" s="228"/>
      <c r="GGL63" s="228"/>
      <c r="GGM63" s="228"/>
      <c r="GGN63" s="228"/>
      <c r="GGO63" s="228"/>
      <c r="GGP63" s="228"/>
      <c r="GGQ63" s="226"/>
      <c r="GGR63" s="226"/>
      <c r="GGS63" s="224"/>
      <c r="GGT63" s="225"/>
      <c r="GGU63" s="226"/>
      <c r="GGV63" s="227"/>
      <c r="GGW63" s="228"/>
      <c r="GGX63" s="228"/>
      <c r="GGY63" s="228"/>
      <c r="GGZ63" s="228"/>
      <c r="GHA63" s="228"/>
      <c r="GHB63" s="228"/>
      <c r="GHC63" s="226"/>
      <c r="GHD63" s="226"/>
      <c r="GHE63" s="224"/>
      <c r="GHF63" s="225"/>
      <c r="GHG63" s="226"/>
      <c r="GHH63" s="227"/>
      <c r="GHI63" s="228"/>
      <c r="GHJ63" s="228"/>
      <c r="GHK63" s="228"/>
      <c r="GHL63" s="228"/>
      <c r="GHM63" s="228"/>
      <c r="GHN63" s="228"/>
      <c r="GHO63" s="226"/>
      <c r="GHP63" s="226"/>
      <c r="GHQ63" s="224"/>
      <c r="GHR63" s="225"/>
      <c r="GHS63" s="226"/>
      <c r="GHT63" s="227"/>
      <c r="GHU63" s="228"/>
      <c r="GHV63" s="228"/>
      <c r="GHW63" s="228"/>
      <c r="GHX63" s="228"/>
      <c r="GHY63" s="228"/>
      <c r="GHZ63" s="228"/>
      <c r="GIA63" s="226"/>
      <c r="GIB63" s="226"/>
      <c r="GIC63" s="224"/>
      <c r="GID63" s="225"/>
      <c r="GIE63" s="226"/>
      <c r="GIF63" s="227"/>
      <c r="GIG63" s="228"/>
      <c r="GIH63" s="228"/>
      <c r="GII63" s="228"/>
      <c r="GIJ63" s="228"/>
      <c r="GIK63" s="228"/>
      <c r="GIL63" s="228"/>
      <c r="GIM63" s="226"/>
      <c r="GIN63" s="226"/>
      <c r="GIO63" s="224"/>
      <c r="GIP63" s="225"/>
      <c r="GIQ63" s="226"/>
      <c r="GIR63" s="227"/>
      <c r="GIS63" s="228"/>
      <c r="GIT63" s="228"/>
      <c r="GIU63" s="228"/>
      <c r="GIV63" s="228"/>
      <c r="GIW63" s="228"/>
      <c r="GIX63" s="228"/>
      <c r="GIY63" s="226"/>
      <c r="GIZ63" s="226"/>
      <c r="GJA63" s="224"/>
      <c r="GJB63" s="225"/>
      <c r="GJC63" s="226"/>
      <c r="GJD63" s="227"/>
      <c r="GJE63" s="228"/>
      <c r="GJF63" s="228"/>
      <c r="GJG63" s="228"/>
      <c r="GJH63" s="228"/>
      <c r="GJI63" s="228"/>
      <c r="GJJ63" s="228"/>
      <c r="GJK63" s="226"/>
      <c r="GJL63" s="226"/>
      <c r="GJM63" s="224"/>
      <c r="GJN63" s="225"/>
      <c r="GJO63" s="226"/>
      <c r="GJP63" s="227"/>
      <c r="GJQ63" s="228"/>
      <c r="GJR63" s="228"/>
      <c r="GJS63" s="228"/>
      <c r="GJT63" s="228"/>
      <c r="GJU63" s="228"/>
      <c r="GJV63" s="228"/>
      <c r="GJW63" s="226"/>
      <c r="GJX63" s="226"/>
      <c r="GJY63" s="224"/>
      <c r="GJZ63" s="225"/>
      <c r="GKA63" s="226"/>
      <c r="GKB63" s="227"/>
      <c r="GKC63" s="228"/>
      <c r="GKD63" s="228"/>
      <c r="GKE63" s="228"/>
      <c r="GKF63" s="228"/>
      <c r="GKG63" s="228"/>
      <c r="GKH63" s="228"/>
      <c r="GKI63" s="226"/>
      <c r="GKJ63" s="226"/>
      <c r="GKK63" s="224"/>
      <c r="GKL63" s="225"/>
      <c r="GKM63" s="226"/>
      <c r="GKN63" s="227"/>
      <c r="GKO63" s="228"/>
      <c r="GKP63" s="228"/>
      <c r="GKQ63" s="228"/>
      <c r="GKR63" s="228"/>
      <c r="GKS63" s="228"/>
      <c r="GKT63" s="228"/>
      <c r="GKU63" s="226"/>
      <c r="GKV63" s="226"/>
      <c r="GKW63" s="224"/>
      <c r="GKX63" s="225"/>
      <c r="GKY63" s="226"/>
      <c r="GKZ63" s="227"/>
      <c r="GLA63" s="228"/>
      <c r="GLB63" s="228"/>
      <c r="GLC63" s="228"/>
      <c r="GLD63" s="228"/>
      <c r="GLE63" s="228"/>
      <c r="GLF63" s="228"/>
      <c r="GLG63" s="226"/>
      <c r="GLH63" s="226"/>
      <c r="GLI63" s="224"/>
      <c r="GLJ63" s="225"/>
      <c r="GLK63" s="226"/>
      <c r="GLL63" s="227"/>
      <c r="GLM63" s="228"/>
      <c r="GLN63" s="228"/>
      <c r="GLO63" s="228"/>
      <c r="GLP63" s="228"/>
      <c r="GLQ63" s="228"/>
      <c r="GLR63" s="228"/>
      <c r="GLS63" s="226"/>
      <c r="GLT63" s="226"/>
      <c r="GLU63" s="224"/>
      <c r="GLV63" s="225"/>
      <c r="GLW63" s="226"/>
      <c r="GLX63" s="227"/>
      <c r="GLY63" s="228"/>
      <c r="GLZ63" s="228"/>
      <c r="GMA63" s="228"/>
      <c r="GMB63" s="228"/>
      <c r="GMC63" s="228"/>
      <c r="GMD63" s="228"/>
      <c r="GME63" s="226"/>
      <c r="GMF63" s="226"/>
      <c r="GMG63" s="224"/>
      <c r="GMH63" s="225"/>
      <c r="GMI63" s="226"/>
      <c r="GMJ63" s="227"/>
      <c r="GMK63" s="228"/>
      <c r="GML63" s="228"/>
      <c r="GMM63" s="228"/>
      <c r="GMN63" s="228"/>
      <c r="GMO63" s="228"/>
      <c r="GMP63" s="228"/>
      <c r="GMQ63" s="226"/>
      <c r="GMR63" s="226"/>
      <c r="GMS63" s="224"/>
      <c r="GMT63" s="225"/>
      <c r="GMU63" s="226"/>
      <c r="GMV63" s="227"/>
      <c r="GMW63" s="228"/>
      <c r="GMX63" s="228"/>
      <c r="GMY63" s="228"/>
      <c r="GMZ63" s="228"/>
      <c r="GNA63" s="228"/>
      <c r="GNB63" s="228"/>
      <c r="GNC63" s="226"/>
      <c r="GND63" s="226"/>
      <c r="GNE63" s="224"/>
      <c r="GNF63" s="225"/>
      <c r="GNG63" s="226"/>
      <c r="GNH63" s="227"/>
      <c r="GNI63" s="228"/>
      <c r="GNJ63" s="228"/>
      <c r="GNK63" s="228"/>
      <c r="GNL63" s="228"/>
      <c r="GNM63" s="228"/>
      <c r="GNN63" s="228"/>
      <c r="GNO63" s="226"/>
      <c r="GNP63" s="226"/>
      <c r="GNQ63" s="224"/>
      <c r="GNR63" s="225"/>
      <c r="GNS63" s="226"/>
      <c r="GNT63" s="227"/>
      <c r="GNU63" s="228"/>
      <c r="GNV63" s="228"/>
      <c r="GNW63" s="228"/>
      <c r="GNX63" s="228"/>
      <c r="GNY63" s="228"/>
      <c r="GNZ63" s="228"/>
      <c r="GOA63" s="226"/>
      <c r="GOB63" s="226"/>
      <c r="GOC63" s="224"/>
      <c r="GOD63" s="225"/>
      <c r="GOE63" s="226"/>
      <c r="GOF63" s="227"/>
      <c r="GOG63" s="228"/>
      <c r="GOH63" s="228"/>
      <c r="GOI63" s="228"/>
      <c r="GOJ63" s="228"/>
      <c r="GOK63" s="228"/>
      <c r="GOL63" s="228"/>
      <c r="GOM63" s="226"/>
      <c r="GON63" s="226"/>
      <c r="GOO63" s="224"/>
      <c r="GOP63" s="225"/>
      <c r="GOQ63" s="226"/>
      <c r="GOR63" s="227"/>
      <c r="GOS63" s="228"/>
      <c r="GOT63" s="228"/>
      <c r="GOU63" s="228"/>
      <c r="GOV63" s="228"/>
      <c r="GOW63" s="228"/>
      <c r="GOX63" s="228"/>
      <c r="GOY63" s="226"/>
      <c r="GOZ63" s="226"/>
      <c r="GPA63" s="224"/>
      <c r="GPB63" s="225"/>
      <c r="GPC63" s="226"/>
      <c r="GPD63" s="227"/>
      <c r="GPE63" s="228"/>
      <c r="GPF63" s="228"/>
      <c r="GPG63" s="228"/>
      <c r="GPH63" s="228"/>
      <c r="GPI63" s="228"/>
      <c r="GPJ63" s="228"/>
      <c r="GPK63" s="226"/>
      <c r="GPL63" s="226"/>
      <c r="GPM63" s="224"/>
      <c r="GPN63" s="225"/>
      <c r="GPO63" s="226"/>
      <c r="GPP63" s="227"/>
      <c r="GPQ63" s="228"/>
      <c r="GPR63" s="228"/>
      <c r="GPS63" s="228"/>
      <c r="GPT63" s="228"/>
      <c r="GPU63" s="228"/>
      <c r="GPV63" s="228"/>
      <c r="GPW63" s="226"/>
      <c r="GPX63" s="226"/>
      <c r="GPY63" s="224"/>
      <c r="GPZ63" s="225"/>
      <c r="GQA63" s="226"/>
      <c r="GQB63" s="227"/>
      <c r="GQC63" s="228"/>
      <c r="GQD63" s="228"/>
      <c r="GQE63" s="228"/>
      <c r="GQF63" s="228"/>
      <c r="GQG63" s="228"/>
      <c r="GQH63" s="228"/>
      <c r="GQI63" s="226"/>
      <c r="GQJ63" s="226"/>
      <c r="GQK63" s="224"/>
      <c r="GQL63" s="225"/>
      <c r="GQM63" s="226"/>
      <c r="GQN63" s="227"/>
      <c r="GQO63" s="228"/>
      <c r="GQP63" s="228"/>
      <c r="GQQ63" s="228"/>
      <c r="GQR63" s="228"/>
      <c r="GQS63" s="228"/>
      <c r="GQT63" s="228"/>
      <c r="GQU63" s="226"/>
      <c r="GQV63" s="226"/>
      <c r="GQW63" s="224"/>
      <c r="GQX63" s="225"/>
      <c r="GQY63" s="226"/>
      <c r="GQZ63" s="227"/>
      <c r="GRA63" s="228"/>
      <c r="GRB63" s="228"/>
      <c r="GRC63" s="228"/>
      <c r="GRD63" s="228"/>
      <c r="GRE63" s="228"/>
      <c r="GRF63" s="228"/>
      <c r="GRG63" s="226"/>
      <c r="GRH63" s="226"/>
      <c r="GRI63" s="224"/>
      <c r="GRJ63" s="225"/>
      <c r="GRK63" s="226"/>
      <c r="GRL63" s="227"/>
      <c r="GRM63" s="228"/>
      <c r="GRN63" s="228"/>
      <c r="GRO63" s="228"/>
      <c r="GRP63" s="228"/>
      <c r="GRQ63" s="228"/>
      <c r="GRR63" s="228"/>
      <c r="GRS63" s="226"/>
      <c r="GRT63" s="226"/>
      <c r="GRU63" s="224"/>
      <c r="GRV63" s="225"/>
      <c r="GRW63" s="226"/>
      <c r="GRX63" s="227"/>
      <c r="GRY63" s="228"/>
      <c r="GRZ63" s="228"/>
      <c r="GSA63" s="228"/>
      <c r="GSB63" s="228"/>
      <c r="GSC63" s="228"/>
      <c r="GSD63" s="228"/>
      <c r="GSE63" s="226"/>
      <c r="GSF63" s="226"/>
      <c r="GSG63" s="224"/>
      <c r="GSH63" s="225"/>
      <c r="GSI63" s="226"/>
      <c r="GSJ63" s="227"/>
      <c r="GSK63" s="228"/>
      <c r="GSL63" s="228"/>
      <c r="GSM63" s="228"/>
      <c r="GSN63" s="228"/>
      <c r="GSO63" s="228"/>
      <c r="GSP63" s="228"/>
      <c r="GSQ63" s="226"/>
      <c r="GSR63" s="226"/>
      <c r="GSS63" s="224"/>
      <c r="GST63" s="225"/>
      <c r="GSU63" s="226"/>
      <c r="GSV63" s="227"/>
      <c r="GSW63" s="228"/>
      <c r="GSX63" s="228"/>
      <c r="GSY63" s="228"/>
      <c r="GSZ63" s="228"/>
      <c r="GTA63" s="228"/>
      <c r="GTB63" s="228"/>
      <c r="GTC63" s="226"/>
      <c r="GTD63" s="226"/>
      <c r="GTE63" s="224"/>
      <c r="GTF63" s="225"/>
      <c r="GTG63" s="226"/>
      <c r="GTH63" s="227"/>
      <c r="GTI63" s="228"/>
      <c r="GTJ63" s="228"/>
      <c r="GTK63" s="228"/>
      <c r="GTL63" s="228"/>
      <c r="GTM63" s="228"/>
      <c r="GTN63" s="228"/>
      <c r="GTO63" s="226"/>
      <c r="GTP63" s="226"/>
      <c r="GTQ63" s="224"/>
      <c r="GTR63" s="225"/>
      <c r="GTS63" s="226"/>
      <c r="GTT63" s="227"/>
      <c r="GTU63" s="228"/>
      <c r="GTV63" s="228"/>
      <c r="GTW63" s="228"/>
      <c r="GTX63" s="228"/>
      <c r="GTY63" s="228"/>
      <c r="GTZ63" s="228"/>
      <c r="GUA63" s="226"/>
      <c r="GUB63" s="226"/>
      <c r="GUC63" s="224"/>
      <c r="GUD63" s="225"/>
      <c r="GUE63" s="226"/>
      <c r="GUF63" s="227"/>
      <c r="GUG63" s="228"/>
      <c r="GUH63" s="228"/>
      <c r="GUI63" s="228"/>
      <c r="GUJ63" s="228"/>
      <c r="GUK63" s="228"/>
      <c r="GUL63" s="228"/>
      <c r="GUM63" s="226"/>
      <c r="GUN63" s="226"/>
      <c r="GUO63" s="224"/>
      <c r="GUP63" s="225"/>
      <c r="GUQ63" s="226"/>
      <c r="GUR63" s="227"/>
      <c r="GUS63" s="228"/>
      <c r="GUT63" s="228"/>
      <c r="GUU63" s="228"/>
      <c r="GUV63" s="228"/>
      <c r="GUW63" s="228"/>
      <c r="GUX63" s="228"/>
      <c r="GUY63" s="226"/>
      <c r="GUZ63" s="226"/>
      <c r="GVA63" s="224"/>
      <c r="GVB63" s="225"/>
      <c r="GVC63" s="226"/>
      <c r="GVD63" s="227"/>
      <c r="GVE63" s="228"/>
      <c r="GVF63" s="228"/>
      <c r="GVG63" s="228"/>
      <c r="GVH63" s="228"/>
      <c r="GVI63" s="228"/>
      <c r="GVJ63" s="228"/>
      <c r="GVK63" s="226"/>
      <c r="GVL63" s="226"/>
      <c r="GVM63" s="224"/>
      <c r="GVN63" s="225"/>
      <c r="GVO63" s="226"/>
      <c r="GVP63" s="227"/>
      <c r="GVQ63" s="228"/>
      <c r="GVR63" s="228"/>
      <c r="GVS63" s="228"/>
      <c r="GVT63" s="228"/>
      <c r="GVU63" s="228"/>
      <c r="GVV63" s="228"/>
      <c r="GVW63" s="226"/>
      <c r="GVX63" s="226"/>
      <c r="GVY63" s="224"/>
      <c r="GVZ63" s="225"/>
      <c r="GWA63" s="226"/>
      <c r="GWB63" s="227"/>
      <c r="GWC63" s="228"/>
      <c r="GWD63" s="228"/>
      <c r="GWE63" s="228"/>
      <c r="GWF63" s="228"/>
      <c r="GWG63" s="228"/>
      <c r="GWH63" s="228"/>
      <c r="GWI63" s="226"/>
      <c r="GWJ63" s="226"/>
      <c r="GWK63" s="224"/>
      <c r="GWL63" s="225"/>
      <c r="GWM63" s="226"/>
      <c r="GWN63" s="227"/>
      <c r="GWO63" s="228"/>
      <c r="GWP63" s="228"/>
      <c r="GWQ63" s="228"/>
      <c r="GWR63" s="228"/>
      <c r="GWS63" s="228"/>
      <c r="GWT63" s="228"/>
      <c r="GWU63" s="226"/>
      <c r="GWV63" s="226"/>
      <c r="GWW63" s="224"/>
      <c r="GWX63" s="225"/>
      <c r="GWY63" s="226"/>
      <c r="GWZ63" s="227"/>
      <c r="GXA63" s="228"/>
      <c r="GXB63" s="228"/>
      <c r="GXC63" s="228"/>
      <c r="GXD63" s="228"/>
      <c r="GXE63" s="228"/>
      <c r="GXF63" s="228"/>
      <c r="GXG63" s="226"/>
      <c r="GXH63" s="226"/>
      <c r="GXI63" s="224"/>
      <c r="GXJ63" s="225"/>
      <c r="GXK63" s="226"/>
      <c r="GXL63" s="227"/>
      <c r="GXM63" s="228"/>
      <c r="GXN63" s="228"/>
      <c r="GXO63" s="228"/>
      <c r="GXP63" s="228"/>
      <c r="GXQ63" s="228"/>
      <c r="GXR63" s="228"/>
      <c r="GXS63" s="226"/>
      <c r="GXT63" s="226"/>
      <c r="GXU63" s="224"/>
      <c r="GXV63" s="225"/>
      <c r="GXW63" s="226"/>
      <c r="GXX63" s="227"/>
      <c r="GXY63" s="228"/>
      <c r="GXZ63" s="228"/>
      <c r="GYA63" s="228"/>
      <c r="GYB63" s="228"/>
      <c r="GYC63" s="228"/>
      <c r="GYD63" s="228"/>
      <c r="GYE63" s="226"/>
      <c r="GYF63" s="226"/>
      <c r="GYG63" s="224"/>
      <c r="GYH63" s="225"/>
      <c r="GYI63" s="226"/>
      <c r="GYJ63" s="227"/>
      <c r="GYK63" s="228"/>
      <c r="GYL63" s="228"/>
      <c r="GYM63" s="228"/>
      <c r="GYN63" s="228"/>
      <c r="GYO63" s="228"/>
      <c r="GYP63" s="228"/>
      <c r="GYQ63" s="226"/>
      <c r="GYR63" s="226"/>
      <c r="GYS63" s="224"/>
      <c r="GYT63" s="225"/>
      <c r="GYU63" s="226"/>
      <c r="GYV63" s="227"/>
      <c r="GYW63" s="228"/>
      <c r="GYX63" s="228"/>
      <c r="GYY63" s="228"/>
      <c r="GYZ63" s="228"/>
      <c r="GZA63" s="228"/>
      <c r="GZB63" s="228"/>
      <c r="GZC63" s="226"/>
      <c r="GZD63" s="226"/>
      <c r="GZE63" s="224"/>
      <c r="GZF63" s="225"/>
      <c r="GZG63" s="226"/>
      <c r="GZH63" s="227"/>
      <c r="GZI63" s="228"/>
      <c r="GZJ63" s="228"/>
      <c r="GZK63" s="228"/>
      <c r="GZL63" s="228"/>
      <c r="GZM63" s="228"/>
      <c r="GZN63" s="228"/>
      <c r="GZO63" s="226"/>
      <c r="GZP63" s="226"/>
      <c r="GZQ63" s="224"/>
      <c r="GZR63" s="225"/>
      <c r="GZS63" s="226"/>
      <c r="GZT63" s="227"/>
      <c r="GZU63" s="228"/>
      <c r="GZV63" s="228"/>
      <c r="GZW63" s="228"/>
      <c r="GZX63" s="228"/>
      <c r="GZY63" s="228"/>
      <c r="GZZ63" s="228"/>
      <c r="HAA63" s="226"/>
      <c r="HAB63" s="226"/>
      <c r="HAC63" s="224"/>
      <c r="HAD63" s="225"/>
      <c r="HAE63" s="226"/>
      <c r="HAF63" s="227"/>
      <c r="HAG63" s="228"/>
      <c r="HAH63" s="228"/>
      <c r="HAI63" s="228"/>
      <c r="HAJ63" s="228"/>
      <c r="HAK63" s="228"/>
      <c r="HAL63" s="228"/>
      <c r="HAM63" s="226"/>
      <c r="HAN63" s="226"/>
      <c r="HAO63" s="224"/>
      <c r="HAP63" s="225"/>
      <c r="HAQ63" s="226"/>
      <c r="HAR63" s="227"/>
      <c r="HAS63" s="228"/>
      <c r="HAT63" s="228"/>
      <c r="HAU63" s="228"/>
      <c r="HAV63" s="228"/>
      <c r="HAW63" s="228"/>
      <c r="HAX63" s="228"/>
      <c r="HAY63" s="226"/>
      <c r="HAZ63" s="226"/>
      <c r="HBA63" s="224"/>
      <c r="HBB63" s="225"/>
      <c r="HBC63" s="226"/>
      <c r="HBD63" s="227"/>
      <c r="HBE63" s="228"/>
      <c r="HBF63" s="228"/>
      <c r="HBG63" s="228"/>
      <c r="HBH63" s="228"/>
      <c r="HBI63" s="228"/>
      <c r="HBJ63" s="228"/>
      <c r="HBK63" s="226"/>
      <c r="HBL63" s="226"/>
      <c r="HBM63" s="224"/>
      <c r="HBN63" s="225"/>
      <c r="HBO63" s="226"/>
      <c r="HBP63" s="227"/>
      <c r="HBQ63" s="228"/>
      <c r="HBR63" s="228"/>
      <c r="HBS63" s="228"/>
      <c r="HBT63" s="228"/>
      <c r="HBU63" s="228"/>
      <c r="HBV63" s="228"/>
      <c r="HBW63" s="226"/>
      <c r="HBX63" s="226"/>
      <c r="HBY63" s="224"/>
      <c r="HBZ63" s="225"/>
      <c r="HCA63" s="226"/>
      <c r="HCB63" s="227"/>
      <c r="HCC63" s="228"/>
      <c r="HCD63" s="228"/>
      <c r="HCE63" s="228"/>
      <c r="HCF63" s="228"/>
      <c r="HCG63" s="228"/>
      <c r="HCH63" s="228"/>
      <c r="HCI63" s="226"/>
      <c r="HCJ63" s="226"/>
      <c r="HCK63" s="224"/>
      <c r="HCL63" s="225"/>
      <c r="HCM63" s="226"/>
      <c r="HCN63" s="227"/>
      <c r="HCO63" s="228"/>
      <c r="HCP63" s="228"/>
      <c r="HCQ63" s="228"/>
      <c r="HCR63" s="228"/>
      <c r="HCS63" s="228"/>
      <c r="HCT63" s="228"/>
      <c r="HCU63" s="226"/>
      <c r="HCV63" s="226"/>
      <c r="HCW63" s="224"/>
      <c r="HCX63" s="225"/>
      <c r="HCY63" s="226"/>
      <c r="HCZ63" s="227"/>
      <c r="HDA63" s="228"/>
      <c r="HDB63" s="228"/>
      <c r="HDC63" s="228"/>
      <c r="HDD63" s="228"/>
      <c r="HDE63" s="228"/>
      <c r="HDF63" s="228"/>
      <c r="HDG63" s="226"/>
      <c r="HDH63" s="226"/>
      <c r="HDI63" s="224"/>
      <c r="HDJ63" s="225"/>
      <c r="HDK63" s="226"/>
      <c r="HDL63" s="227"/>
      <c r="HDM63" s="228"/>
      <c r="HDN63" s="228"/>
      <c r="HDO63" s="228"/>
      <c r="HDP63" s="228"/>
      <c r="HDQ63" s="228"/>
      <c r="HDR63" s="228"/>
      <c r="HDS63" s="226"/>
      <c r="HDT63" s="226"/>
      <c r="HDU63" s="224"/>
      <c r="HDV63" s="225"/>
      <c r="HDW63" s="226"/>
      <c r="HDX63" s="227"/>
      <c r="HDY63" s="228"/>
      <c r="HDZ63" s="228"/>
      <c r="HEA63" s="228"/>
      <c r="HEB63" s="228"/>
      <c r="HEC63" s="228"/>
      <c r="HED63" s="228"/>
      <c r="HEE63" s="226"/>
      <c r="HEF63" s="226"/>
      <c r="HEG63" s="224"/>
      <c r="HEH63" s="225"/>
      <c r="HEI63" s="226"/>
      <c r="HEJ63" s="227"/>
      <c r="HEK63" s="228"/>
      <c r="HEL63" s="228"/>
      <c r="HEM63" s="228"/>
      <c r="HEN63" s="228"/>
      <c r="HEO63" s="228"/>
      <c r="HEP63" s="228"/>
      <c r="HEQ63" s="226"/>
      <c r="HER63" s="226"/>
      <c r="HES63" s="224"/>
      <c r="HET63" s="225"/>
      <c r="HEU63" s="226"/>
      <c r="HEV63" s="227"/>
      <c r="HEW63" s="228"/>
      <c r="HEX63" s="228"/>
      <c r="HEY63" s="228"/>
      <c r="HEZ63" s="228"/>
      <c r="HFA63" s="228"/>
      <c r="HFB63" s="228"/>
      <c r="HFC63" s="226"/>
      <c r="HFD63" s="226"/>
      <c r="HFE63" s="224"/>
      <c r="HFF63" s="225"/>
      <c r="HFG63" s="226"/>
      <c r="HFH63" s="227"/>
      <c r="HFI63" s="228"/>
      <c r="HFJ63" s="228"/>
      <c r="HFK63" s="228"/>
      <c r="HFL63" s="228"/>
      <c r="HFM63" s="228"/>
      <c r="HFN63" s="228"/>
      <c r="HFO63" s="226"/>
      <c r="HFP63" s="226"/>
      <c r="HFQ63" s="224"/>
      <c r="HFR63" s="225"/>
      <c r="HFS63" s="226"/>
      <c r="HFT63" s="227"/>
      <c r="HFU63" s="228"/>
      <c r="HFV63" s="228"/>
      <c r="HFW63" s="228"/>
      <c r="HFX63" s="228"/>
      <c r="HFY63" s="228"/>
      <c r="HFZ63" s="228"/>
      <c r="HGA63" s="226"/>
      <c r="HGB63" s="226"/>
      <c r="HGC63" s="224"/>
      <c r="HGD63" s="225"/>
      <c r="HGE63" s="226"/>
      <c r="HGF63" s="227"/>
      <c r="HGG63" s="228"/>
      <c r="HGH63" s="228"/>
      <c r="HGI63" s="228"/>
      <c r="HGJ63" s="228"/>
      <c r="HGK63" s="228"/>
      <c r="HGL63" s="228"/>
      <c r="HGM63" s="226"/>
      <c r="HGN63" s="226"/>
      <c r="HGO63" s="224"/>
      <c r="HGP63" s="225"/>
      <c r="HGQ63" s="226"/>
      <c r="HGR63" s="227"/>
      <c r="HGS63" s="228"/>
      <c r="HGT63" s="228"/>
      <c r="HGU63" s="228"/>
      <c r="HGV63" s="228"/>
      <c r="HGW63" s="228"/>
      <c r="HGX63" s="228"/>
      <c r="HGY63" s="226"/>
      <c r="HGZ63" s="226"/>
      <c r="HHA63" s="224"/>
      <c r="HHB63" s="225"/>
      <c r="HHC63" s="226"/>
      <c r="HHD63" s="227"/>
      <c r="HHE63" s="228"/>
      <c r="HHF63" s="228"/>
      <c r="HHG63" s="228"/>
      <c r="HHH63" s="228"/>
      <c r="HHI63" s="228"/>
      <c r="HHJ63" s="228"/>
      <c r="HHK63" s="226"/>
      <c r="HHL63" s="226"/>
      <c r="HHM63" s="224"/>
      <c r="HHN63" s="225"/>
      <c r="HHO63" s="226"/>
      <c r="HHP63" s="227"/>
      <c r="HHQ63" s="228"/>
      <c r="HHR63" s="228"/>
      <c r="HHS63" s="228"/>
      <c r="HHT63" s="228"/>
      <c r="HHU63" s="228"/>
      <c r="HHV63" s="228"/>
      <c r="HHW63" s="226"/>
      <c r="HHX63" s="226"/>
      <c r="HHY63" s="224"/>
      <c r="HHZ63" s="225"/>
      <c r="HIA63" s="226"/>
      <c r="HIB63" s="227"/>
      <c r="HIC63" s="228"/>
      <c r="HID63" s="228"/>
      <c r="HIE63" s="228"/>
      <c r="HIF63" s="228"/>
      <c r="HIG63" s="228"/>
      <c r="HIH63" s="228"/>
      <c r="HII63" s="226"/>
      <c r="HIJ63" s="226"/>
      <c r="HIK63" s="224"/>
      <c r="HIL63" s="225"/>
      <c r="HIM63" s="226"/>
      <c r="HIN63" s="227"/>
      <c r="HIO63" s="228"/>
      <c r="HIP63" s="228"/>
      <c r="HIQ63" s="228"/>
      <c r="HIR63" s="228"/>
      <c r="HIS63" s="228"/>
      <c r="HIT63" s="228"/>
      <c r="HIU63" s="226"/>
      <c r="HIV63" s="226"/>
      <c r="HIW63" s="224"/>
      <c r="HIX63" s="225"/>
      <c r="HIY63" s="226"/>
      <c r="HIZ63" s="227"/>
      <c r="HJA63" s="228"/>
      <c r="HJB63" s="228"/>
      <c r="HJC63" s="228"/>
      <c r="HJD63" s="228"/>
      <c r="HJE63" s="228"/>
      <c r="HJF63" s="228"/>
      <c r="HJG63" s="226"/>
      <c r="HJH63" s="226"/>
      <c r="HJI63" s="224"/>
      <c r="HJJ63" s="225"/>
      <c r="HJK63" s="226"/>
      <c r="HJL63" s="227"/>
      <c r="HJM63" s="228"/>
      <c r="HJN63" s="228"/>
      <c r="HJO63" s="228"/>
      <c r="HJP63" s="228"/>
      <c r="HJQ63" s="228"/>
      <c r="HJR63" s="228"/>
      <c r="HJS63" s="226"/>
      <c r="HJT63" s="226"/>
      <c r="HJU63" s="224"/>
      <c r="HJV63" s="225"/>
      <c r="HJW63" s="226"/>
      <c r="HJX63" s="227"/>
      <c r="HJY63" s="228"/>
      <c r="HJZ63" s="228"/>
      <c r="HKA63" s="228"/>
      <c r="HKB63" s="228"/>
      <c r="HKC63" s="228"/>
      <c r="HKD63" s="228"/>
      <c r="HKE63" s="226"/>
      <c r="HKF63" s="226"/>
      <c r="HKG63" s="224"/>
      <c r="HKH63" s="225"/>
      <c r="HKI63" s="226"/>
      <c r="HKJ63" s="227"/>
      <c r="HKK63" s="228"/>
      <c r="HKL63" s="228"/>
      <c r="HKM63" s="228"/>
      <c r="HKN63" s="228"/>
      <c r="HKO63" s="228"/>
      <c r="HKP63" s="228"/>
      <c r="HKQ63" s="226"/>
      <c r="HKR63" s="226"/>
      <c r="HKS63" s="224"/>
      <c r="HKT63" s="225"/>
      <c r="HKU63" s="226"/>
      <c r="HKV63" s="227"/>
      <c r="HKW63" s="228"/>
      <c r="HKX63" s="228"/>
      <c r="HKY63" s="228"/>
      <c r="HKZ63" s="228"/>
      <c r="HLA63" s="228"/>
      <c r="HLB63" s="228"/>
      <c r="HLC63" s="226"/>
      <c r="HLD63" s="226"/>
      <c r="HLE63" s="224"/>
      <c r="HLF63" s="225"/>
      <c r="HLG63" s="226"/>
      <c r="HLH63" s="227"/>
      <c r="HLI63" s="228"/>
      <c r="HLJ63" s="228"/>
      <c r="HLK63" s="228"/>
      <c r="HLL63" s="228"/>
      <c r="HLM63" s="228"/>
      <c r="HLN63" s="228"/>
      <c r="HLO63" s="226"/>
      <c r="HLP63" s="226"/>
      <c r="HLQ63" s="224"/>
      <c r="HLR63" s="225"/>
      <c r="HLS63" s="226"/>
      <c r="HLT63" s="227"/>
      <c r="HLU63" s="228"/>
      <c r="HLV63" s="228"/>
      <c r="HLW63" s="228"/>
      <c r="HLX63" s="228"/>
      <c r="HLY63" s="228"/>
      <c r="HLZ63" s="228"/>
      <c r="HMA63" s="226"/>
      <c r="HMB63" s="226"/>
      <c r="HMC63" s="224"/>
      <c r="HMD63" s="225"/>
      <c r="HME63" s="226"/>
      <c r="HMF63" s="227"/>
      <c r="HMG63" s="228"/>
      <c r="HMH63" s="228"/>
      <c r="HMI63" s="228"/>
      <c r="HMJ63" s="228"/>
      <c r="HMK63" s="228"/>
      <c r="HML63" s="228"/>
      <c r="HMM63" s="226"/>
      <c r="HMN63" s="226"/>
      <c r="HMO63" s="224"/>
      <c r="HMP63" s="225"/>
      <c r="HMQ63" s="226"/>
      <c r="HMR63" s="227"/>
      <c r="HMS63" s="228"/>
      <c r="HMT63" s="228"/>
      <c r="HMU63" s="228"/>
      <c r="HMV63" s="228"/>
      <c r="HMW63" s="228"/>
      <c r="HMX63" s="228"/>
      <c r="HMY63" s="226"/>
      <c r="HMZ63" s="226"/>
      <c r="HNA63" s="224"/>
      <c r="HNB63" s="225"/>
      <c r="HNC63" s="226"/>
      <c r="HND63" s="227"/>
      <c r="HNE63" s="228"/>
      <c r="HNF63" s="228"/>
      <c r="HNG63" s="228"/>
      <c r="HNH63" s="228"/>
      <c r="HNI63" s="228"/>
      <c r="HNJ63" s="228"/>
      <c r="HNK63" s="226"/>
      <c r="HNL63" s="226"/>
      <c r="HNM63" s="224"/>
      <c r="HNN63" s="225"/>
      <c r="HNO63" s="226"/>
      <c r="HNP63" s="227"/>
      <c r="HNQ63" s="228"/>
      <c r="HNR63" s="228"/>
      <c r="HNS63" s="228"/>
      <c r="HNT63" s="228"/>
      <c r="HNU63" s="228"/>
      <c r="HNV63" s="228"/>
      <c r="HNW63" s="226"/>
      <c r="HNX63" s="226"/>
      <c r="HNY63" s="224"/>
      <c r="HNZ63" s="225"/>
      <c r="HOA63" s="226"/>
      <c r="HOB63" s="227"/>
      <c r="HOC63" s="228"/>
      <c r="HOD63" s="228"/>
      <c r="HOE63" s="228"/>
      <c r="HOF63" s="228"/>
      <c r="HOG63" s="228"/>
      <c r="HOH63" s="228"/>
      <c r="HOI63" s="226"/>
      <c r="HOJ63" s="226"/>
      <c r="HOK63" s="224"/>
      <c r="HOL63" s="225"/>
      <c r="HOM63" s="226"/>
      <c r="HON63" s="227"/>
      <c r="HOO63" s="228"/>
      <c r="HOP63" s="228"/>
      <c r="HOQ63" s="228"/>
      <c r="HOR63" s="228"/>
      <c r="HOS63" s="228"/>
      <c r="HOT63" s="228"/>
      <c r="HOU63" s="226"/>
      <c r="HOV63" s="226"/>
      <c r="HOW63" s="224"/>
      <c r="HOX63" s="225"/>
      <c r="HOY63" s="226"/>
      <c r="HOZ63" s="227"/>
      <c r="HPA63" s="228"/>
      <c r="HPB63" s="228"/>
      <c r="HPC63" s="228"/>
      <c r="HPD63" s="228"/>
      <c r="HPE63" s="228"/>
      <c r="HPF63" s="228"/>
      <c r="HPG63" s="226"/>
      <c r="HPH63" s="226"/>
      <c r="HPI63" s="224"/>
      <c r="HPJ63" s="225"/>
      <c r="HPK63" s="226"/>
      <c r="HPL63" s="227"/>
      <c r="HPM63" s="228"/>
      <c r="HPN63" s="228"/>
      <c r="HPO63" s="228"/>
      <c r="HPP63" s="228"/>
      <c r="HPQ63" s="228"/>
      <c r="HPR63" s="228"/>
      <c r="HPS63" s="226"/>
      <c r="HPT63" s="226"/>
      <c r="HPU63" s="224"/>
      <c r="HPV63" s="225"/>
      <c r="HPW63" s="226"/>
      <c r="HPX63" s="227"/>
      <c r="HPY63" s="228"/>
      <c r="HPZ63" s="228"/>
      <c r="HQA63" s="228"/>
      <c r="HQB63" s="228"/>
      <c r="HQC63" s="228"/>
      <c r="HQD63" s="228"/>
      <c r="HQE63" s="226"/>
      <c r="HQF63" s="226"/>
      <c r="HQG63" s="224"/>
      <c r="HQH63" s="225"/>
      <c r="HQI63" s="226"/>
      <c r="HQJ63" s="227"/>
      <c r="HQK63" s="228"/>
      <c r="HQL63" s="228"/>
      <c r="HQM63" s="228"/>
      <c r="HQN63" s="228"/>
      <c r="HQO63" s="228"/>
      <c r="HQP63" s="228"/>
      <c r="HQQ63" s="226"/>
      <c r="HQR63" s="226"/>
      <c r="HQS63" s="224"/>
      <c r="HQT63" s="225"/>
      <c r="HQU63" s="226"/>
      <c r="HQV63" s="227"/>
      <c r="HQW63" s="228"/>
      <c r="HQX63" s="228"/>
      <c r="HQY63" s="228"/>
      <c r="HQZ63" s="228"/>
      <c r="HRA63" s="228"/>
      <c r="HRB63" s="228"/>
      <c r="HRC63" s="226"/>
      <c r="HRD63" s="226"/>
      <c r="HRE63" s="224"/>
      <c r="HRF63" s="225"/>
      <c r="HRG63" s="226"/>
      <c r="HRH63" s="227"/>
      <c r="HRI63" s="228"/>
      <c r="HRJ63" s="228"/>
      <c r="HRK63" s="228"/>
      <c r="HRL63" s="228"/>
      <c r="HRM63" s="228"/>
      <c r="HRN63" s="228"/>
      <c r="HRO63" s="226"/>
      <c r="HRP63" s="226"/>
      <c r="HRQ63" s="224"/>
      <c r="HRR63" s="225"/>
      <c r="HRS63" s="226"/>
      <c r="HRT63" s="227"/>
      <c r="HRU63" s="228"/>
      <c r="HRV63" s="228"/>
      <c r="HRW63" s="228"/>
      <c r="HRX63" s="228"/>
      <c r="HRY63" s="228"/>
      <c r="HRZ63" s="228"/>
      <c r="HSA63" s="226"/>
      <c r="HSB63" s="226"/>
      <c r="HSC63" s="224"/>
      <c r="HSD63" s="225"/>
      <c r="HSE63" s="226"/>
      <c r="HSF63" s="227"/>
      <c r="HSG63" s="228"/>
      <c r="HSH63" s="228"/>
      <c r="HSI63" s="228"/>
      <c r="HSJ63" s="228"/>
      <c r="HSK63" s="228"/>
      <c r="HSL63" s="228"/>
      <c r="HSM63" s="226"/>
      <c r="HSN63" s="226"/>
      <c r="HSO63" s="224"/>
      <c r="HSP63" s="225"/>
      <c r="HSQ63" s="226"/>
      <c r="HSR63" s="227"/>
      <c r="HSS63" s="228"/>
      <c r="HST63" s="228"/>
      <c r="HSU63" s="228"/>
      <c r="HSV63" s="228"/>
      <c r="HSW63" s="228"/>
      <c r="HSX63" s="228"/>
      <c r="HSY63" s="226"/>
      <c r="HSZ63" s="226"/>
      <c r="HTA63" s="224"/>
      <c r="HTB63" s="225"/>
      <c r="HTC63" s="226"/>
      <c r="HTD63" s="227"/>
      <c r="HTE63" s="228"/>
      <c r="HTF63" s="228"/>
      <c r="HTG63" s="228"/>
      <c r="HTH63" s="228"/>
      <c r="HTI63" s="228"/>
      <c r="HTJ63" s="228"/>
      <c r="HTK63" s="226"/>
      <c r="HTL63" s="226"/>
      <c r="HTM63" s="224"/>
      <c r="HTN63" s="225"/>
      <c r="HTO63" s="226"/>
      <c r="HTP63" s="227"/>
      <c r="HTQ63" s="228"/>
      <c r="HTR63" s="228"/>
      <c r="HTS63" s="228"/>
      <c r="HTT63" s="228"/>
      <c r="HTU63" s="228"/>
      <c r="HTV63" s="228"/>
      <c r="HTW63" s="226"/>
      <c r="HTX63" s="226"/>
      <c r="HTY63" s="224"/>
      <c r="HTZ63" s="225"/>
      <c r="HUA63" s="226"/>
      <c r="HUB63" s="227"/>
      <c r="HUC63" s="228"/>
      <c r="HUD63" s="228"/>
      <c r="HUE63" s="228"/>
      <c r="HUF63" s="228"/>
      <c r="HUG63" s="228"/>
      <c r="HUH63" s="228"/>
      <c r="HUI63" s="226"/>
      <c r="HUJ63" s="226"/>
      <c r="HUK63" s="224"/>
      <c r="HUL63" s="225"/>
      <c r="HUM63" s="226"/>
      <c r="HUN63" s="227"/>
      <c r="HUO63" s="228"/>
      <c r="HUP63" s="228"/>
      <c r="HUQ63" s="228"/>
      <c r="HUR63" s="228"/>
      <c r="HUS63" s="228"/>
      <c r="HUT63" s="228"/>
      <c r="HUU63" s="226"/>
      <c r="HUV63" s="226"/>
      <c r="HUW63" s="224"/>
      <c r="HUX63" s="225"/>
      <c r="HUY63" s="226"/>
      <c r="HUZ63" s="227"/>
      <c r="HVA63" s="228"/>
      <c r="HVB63" s="228"/>
      <c r="HVC63" s="228"/>
      <c r="HVD63" s="228"/>
      <c r="HVE63" s="228"/>
      <c r="HVF63" s="228"/>
      <c r="HVG63" s="226"/>
      <c r="HVH63" s="226"/>
      <c r="HVI63" s="224"/>
      <c r="HVJ63" s="225"/>
      <c r="HVK63" s="226"/>
      <c r="HVL63" s="227"/>
      <c r="HVM63" s="228"/>
      <c r="HVN63" s="228"/>
      <c r="HVO63" s="228"/>
      <c r="HVP63" s="228"/>
      <c r="HVQ63" s="228"/>
      <c r="HVR63" s="228"/>
      <c r="HVS63" s="226"/>
      <c r="HVT63" s="226"/>
      <c r="HVU63" s="224"/>
      <c r="HVV63" s="225"/>
      <c r="HVW63" s="226"/>
      <c r="HVX63" s="227"/>
      <c r="HVY63" s="228"/>
      <c r="HVZ63" s="228"/>
      <c r="HWA63" s="228"/>
      <c r="HWB63" s="228"/>
      <c r="HWC63" s="228"/>
      <c r="HWD63" s="228"/>
      <c r="HWE63" s="226"/>
      <c r="HWF63" s="226"/>
      <c r="HWG63" s="224"/>
      <c r="HWH63" s="225"/>
      <c r="HWI63" s="226"/>
      <c r="HWJ63" s="227"/>
      <c r="HWK63" s="228"/>
      <c r="HWL63" s="228"/>
      <c r="HWM63" s="228"/>
      <c r="HWN63" s="228"/>
      <c r="HWO63" s="228"/>
      <c r="HWP63" s="228"/>
      <c r="HWQ63" s="226"/>
      <c r="HWR63" s="226"/>
      <c r="HWS63" s="224"/>
      <c r="HWT63" s="225"/>
      <c r="HWU63" s="226"/>
      <c r="HWV63" s="227"/>
      <c r="HWW63" s="228"/>
      <c r="HWX63" s="228"/>
      <c r="HWY63" s="228"/>
      <c r="HWZ63" s="228"/>
      <c r="HXA63" s="228"/>
      <c r="HXB63" s="228"/>
      <c r="HXC63" s="226"/>
      <c r="HXD63" s="226"/>
      <c r="HXE63" s="224"/>
      <c r="HXF63" s="225"/>
      <c r="HXG63" s="226"/>
      <c r="HXH63" s="227"/>
      <c r="HXI63" s="228"/>
      <c r="HXJ63" s="228"/>
      <c r="HXK63" s="228"/>
      <c r="HXL63" s="228"/>
      <c r="HXM63" s="228"/>
      <c r="HXN63" s="228"/>
      <c r="HXO63" s="226"/>
      <c r="HXP63" s="226"/>
      <c r="HXQ63" s="224"/>
      <c r="HXR63" s="225"/>
      <c r="HXS63" s="226"/>
      <c r="HXT63" s="227"/>
      <c r="HXU63" s="228"/>
      <c r="HXV63" s="228"/>
      <c r="HXW63" s="228"/>
      <c r="HXX63" s="228"/>
      <c r="HXY63" s="228"/>
      <c r="HXZ63" s="228"/>
      <c r="HYA63" s="226"/>
      <c r="HYB63" s="226"/>
      <c r="HYC63" s="224"/>
      <c r="HYD63" s="225"/>
      <c r="HYE63" s="226"/>
      <c r="HYF63" s="227"/>
      <c r="HYG63" s="228"/>
      <c r="HYH63" s="228"/>
      <c r="HYI63" s="228"/>
      <c r="HYJ63" s="228"/>
      <c r="HYK63" s="228"/>
      <c r="HYL63" s="228"/>
      <c r="HYM63" s="226"/>
      <c r="HYN63" s="226"/>
      <c r="HYO63" s="224"/>
      <c r="HYP63" s="225"/>
      <c r="HYQ63" s="226"/>
      <c r="HYR63" s="227"/>
      <c r="HYS63" s="228"/>
      <c r="HYT63" s="228"/>
      <c r="HYU63" s="228"/>
      <c r="HYV63" s="228"/>
      <c r="HYW63" s="228"/>
      <c r="HYX63" s="228"/>
      <c r="HYY63" s="226"/>
      <c r="HYZ63" s="226"/>
      <c r="HZA63" s="224"/>
      <c r="HZB63" s="225"/>
      <c r="HZC63" s="226"/>
      <c r="HZD63" s="227"/>
      <c r="HZE63" s="228"/>
      <c r="HZF63" s="228"/>
      <c r="HZG63" s="228"/>
      <c r="HZH63" s="228"/>
      <c r="HZI63" s="228"/>
      <c r="HZJ63" s="228"/>
      <c r="HZK63" s="226"/>
      <c r="HZL63" s="226"/>
      <c r="HZM63" s="224"/>
      <c r="HZN63" s="225"/>
      <c r="HZO63" s="226"/>
      <c r="HZP63" s="227"/>
      <c r="HZQ63" s="228"/>
      <c r="HZR63" s="228"/>
      <c r="HZS63" s="228"/>
      <c r="HZT63" s="228"/>
      <c r="HZU63" s="228"/>
      <c r="HZV63" s="228"/>
      <c r="HZW63" s="226"/>
      <c r="HZX63" s="226"/>
      <c r="HZY63" s="224"/>
      <c r="HZZ63" s="225"/>
      <c r="IAA63" s="226"/>
      <c r="IAB63" s="227"/>
      <c r="IAC63" s="228"/>
      <c r="IAD63" s="228"/>
      <c r="IAE63" s="228"/>
      <c r="IAF63" s="228"/>
      <c r="IAG63" s="228"/>
      <c r="IAH63" s="228"/>
      <c r="IAI63" s="226"/>
      <c r="IAJ63" s="226"/>
      <c r="IAK63" s="224"/>
      <c r="IAL63" s="225"/>
      <c r="IAM63" s="226"/>
      <c r="IAN63" s="227"/>
      <c r="IAO63" s="228"/>
      <c r="IAP63" s="228"/>
      <c r="IAQ63" s="228"/>
      <c r="IAR63" s="228"/>
      <c r="IAS63" s="228"/>
      <c r="IAT63" s="228"/>
      <c r="IAU63" s="226"/>
      <c r="IAV63" s="226"/>
      <c r="IAW63" s="224"/>
      <c r="IAX63" s="225"/>
      <c r="IAY63" s="226"/>
      <c r="IAZ63" s="227"/>
      <c r="IBA63" s="228"/>
      <c r="IBB63" s="228"/>
      <c r="IBC63" s="228"/>
      <c r="IBD63" s="228"/>
      <c r="IBE63" s="228"/>
      <c r="IBF63" s="228"/>
      <c r="IBG63" s="226"/>
      <c r="IBH63" s="226"/>
      <c r="IBI63" s="224"/>
      <c r="IBJ63" s="225"/>
      <c r="IBK63" s="226"/>
      <c r="IBL63" s="227"/>
      <c r="IBM63" s="228"/>
      <c r="IBN63" s="228"/>
      <c r="IBO63" s="228"/>
      <c r="IBP63" s="228"/>
      <c r="IBQ63" s="228"/>
      <c r="IBR63" s="228"/>
      <c r="IBS63" s="226"/>
      <c r="IBT63" s="226"/>
      <c r="IBU63" s="224"/>
      <c r="IBV63" s="225"/>
      <c r="IBW63" s="226"/>
      <c r="IBX63" s="227"/>
      <c r="IBY63" s="228"/>
      <c r="IBZ63" s="228"/>
      <c r="ICA63" s="228"/>
      <c r="ICB63" s="228"/>
      <c r="ICC63" s="228"/>
      <c r="ICD63" s="228"/>
      <c r="ICE63" s="226"/>
      <c r="ICF63" s="226"/>
      <c r="ICG63" s="224"/>
      <c r="ICH63" s="225"/>
      <c r="ICI63" s="226"/>
      <c r="ICJ63" s="227"/>
      <c r="ICK63" s="228"/>
      <c r="ICL63" s="228"/>
      <c r="ICM63" s="228"/>
      <c r="ICN63" s="228"/>
      <c r="ICO63" s="228"/>
      <c r="ICP63" s="228"/>
      <c r="ICQ63" s="226"/>
      <c r="ICR63" s="226"/>
      <c r="ICS63" s="224"/>
      <c r="ICT63" s="225"/>
      <c r="ICU63" s="226"/>
      <c r="ICV63" s="227"/>
      <c r="ICW63" s="228"/>
      <c r="ICX63" s="228"/>
      <c r="ICY63" s="228"/>
      <c r="ICZ63" s="228"/>
      <c r="IDA63" s="228"/>
      <c r="IDB63" s="228"/>
      <c r="IDC63" s="226"/>
      <c r="IDD63" s="226"/>
      <c r="IDE63" s="224"/>
      <c r="IDF63" s="225"/>
      <c r="IDG63" s="226"/>
      <c r="IDH63" s="227"/>
      <c r="IDI63" s="228"/>
      <c r="IDJ63" s="228"/>
      <c r="IDK63" s="228"/>
      <c r="IDL63" s="228"/>
      <c r="IDM63" s="228"/>
      <c r="IDN63" s="228"/>
      <c r="IDO63" s="226"/>
      <c r="IDP63" s="226"/>
      <c r="IDQ63" s="224"/>
      <c r="IDR63" s="225"/>
      <c r="IDS63" s="226"/>
      <c r="IDT63" s="227"/>
      <c r="IDU63" s="228"/>
      <c r="IDV63" s="228"/>
      <c r="IDW63" s="228"/>
      <c r="IDX63" s="228"/>
      <c r="IDY63" s="228"/>
      <c r="IDZ63" s="228"/>
      <c r="IEA63" s="226"/>
      <c r="IEB63" s="226"/>
      <c r="IEC63" s="224"/>
      <c r="IED63" s="225"/>
      <c r="IEE63" s="226"/>
      <c r="IEF63" s="227"/>
      <c r="IEG63" s="228"/>
      <c r="IEH63" s="228"/>
      <c r="IEI63" s="228"/>
      <c r="IEJ63" s="228"/>
      <c r="IEK63" s="228"/>
      <c r="IEL63" s="228"/>
      <c r="IEM63" s="226"/>
      <c r="IEN63" s="226"/>
      <c r="IEO63" s="224"/>
      <c r="IEP63" s="225"/>
      <c r="IEQ63" s="226"/>
      <c r="IER63" s="227"/>
      <c r="IES63" s="228"/>
      <c r="IET63" s="228"/>
      <c r="IEU63" s="228"/>
      <c r="IEV63" s="228"/>
      <c r="IEW63" s="228"/>
      <c r="IEX63" s="228"/>
      <c r="IEY63" s="226"/>
      <c r="IEZ63" s="226"/>
      <c r="IFA63" s="224"/>
      <c r="IFB63" s="225"/>
      <c r="IFC63" s="226"/>
      <c r="IFD63" s="227"/>
      <c r="IFE63" s="228"/>
      <c r="IFF63" s="228"/>
      <c r="IFG63" s="228"/>
      <c r="IFH63" s="228"/>
      <c r="IFI63" s="228"/>
      <c r="IFJ63" s="228"/>
      <c r="IFK63" s="226"/>
      <c r="IFL63" s="226"/>
      <c r="IFM63" s="224"/>
      <c r="IFN63" s="225"/>
      <c r="IFO63" s="226"/>
      <c r="IFP63" s="227"/>
      <c r="IFQ63" s="228"/>
      <c r="IFR63" s="228"/>
      <c r="IFS63" s="228"/>
      <c r="IFT63" s="228"/>
      <c r="IFU63" s="228"/>
      <c r="IFV63" s="228"/>
      <c r="IFW63" s="226"/>
      <c r="IFX63" s="226"/>
      <c r="IFY63" s="224"/>
      <c r="IFZ63" s="225"/>
      <c r="IGA63" s="226"/>
      <c r="IGB63" s="227"/>
      <c r="IGC63" s="228"/>
      <c r="IGD63" s="228"/>
      <c r="IGE63" s="228"/>
      <c r="IGF63" s="228"/>
      <c r="IGG63" s="228"/>
      <c r="IGH63" s="228"/>
      <c r="IGI63" s="226"/>
      <c r="IGJ63" s="226"/>
      <c r="IGK63" s="224"/>
      <c r="IGL63" s="225"/>
      <c r="IGM63" s="226"/>
      <c r="IGN63" s="227"/>
      <c r="IGO63" s="228"/>
      <c r="IGP63" s="228"/>
      <c r="IGQ63" s="228"/>
      <c r="IGR63" s="228"/>
      <c r="IGS63" s="228"/>
      <c r="IGT63" s="228"/>
      <c r="IGU63" s="226"/>
      <c r="IGV63" s="226"/>
      <c r="IGW63" s="224"/>
      <c r="IGX63" s="225"/>
      <c r="IGY63" s="226"/>
      <c r="IGZ63" s="227"/>
      <c r="IHA63" s="228"/>
      <c r="IHB63" s="228"/>
      <c r="IHC63" s="228"/>
      <c r="IHD63" s="228"/>
      <c r="IHE63" s="228"/>
      <c r="IHF63" s="228"/>
      <c r="IHG63" s="226"/>
      <c r="IHH63" s="226"/>
      <c r="IHI63" s="224"/>
      <c r="IHJ63" s="225"/>
      <c r="IHK63" s="226"/>
      <c r="IHL63" s="227"/>
      <c r="IHM63" s="228"/>
      <c r="IHN63" s="228"/>
      <c r="IHO63" s="228"/>
      <c r="IHP63" s="228"/>
      <c r="IHQ63" s="228"/>
      <c r="IHR63" s="228"/>
      <c r="IHS63" s="226"/>
      <c r="IHT63" s="226"/>
      <c r="IHU63" s="224"/>
      <c r="IHV63" s="225"/>
      <c r="IHW63" s="226"/>
      <c r="IHX63" s="227"/>
      <c r="IHY63" s="228"/>
      <c r="IHZ63" s="228"/>
      <c r="IIA63" s="228"/>
      <c r="IIB63" s="228"/>
      <c r="IIC63" s="228"/>
      <c r="IID63" s="228"/>
      <c r="IIE63" s="226"/>
      <c r="IIF63" s="226"/>
      <c r="IIG63" s="224"/>
      <c r="IIH63" s="225"/>
      <c r="III63" s="226"/>
      <c r="IIJ63" s="227"/>
      <c r="IIK63" s="228"/>
      <c r="IIL63" s="228"/>
      <c r="IIM63" s="228"/>
      <c r="IIN63" s="228"/>
      <c r="IIO63" s="228"/>
      <c r="IIP63" s="228"/>
      <c r="IIQ63" s="226"/>
      <c r="IIR63" s="226"/>
      <c r="IIS63" s="224"/>
      <c r="IIT63" s="225"/>
      <c r="IIU63" s="226"/>
      <c r="IIV63" s="227"/>
      <c r="IIW63" s="228"/>
      <c r="IIX63" s="228"/>
      <c r="IIY63" s="228"/>
      <c r="IIZ63" s="228"/>
      <c r="IJA63" s="228"/>
      <c r="IJB63" s="228"/>
      <c r="IJC63" s="226"/>
      <c r="IJD63" s="226"/>
      <c r="IJE63" s="224"/>
      <c r="IJF63" s="225"/>
      <c r="IJG63" s="226"/>
      <c r="IJH63" s="227"/>
      <c r="IJI63" s="228"/>
      <c r="IJJ63" s="228"/>
      <c r="IJK63" s="228"/>
      <c r="IJL63" s="228"/>
      <c r="IJM63" s="228"/>
      <c r="IJN63" s="228"/>
      <c r="IJO63" s="226"/>
      <c r="IJP63" s="226"/>
      <c r="IJQ63" s="224"/>
      <c r="IJR63" s="225"/>
      <c r="IJS63" s="226"/>
      <c r="IJT63" s="227"/>
      <c r="IJU63" s="228"/>
      <c r="IJV63" s="228"/>
      <c r="IJW63" s="228"/>
      <c r="IJX63" s="228"/>
      <c r="IJY63" s="228"/>
      <c r="IJZ63" s="228"/>
      <c r="IKA63" s="226"/>
      <c r="IKB63" s="226"/>
      <c r="IKC63" s="224"/>
      <c r="IKD63" s="225"/>
      <c r="IKE63" s="226"/>
      <c r="IKF63" s="227"/>
      <c r="IKG63" s="228"/>
      <c r="IKH63" s="228"/>
      <c r="IKI63" s="228"/>
      <c r="IKJ63" s="228"/>
      <c r="IKK63" s="228"/>
      <c r="IKL63" s="228"/>
      <c r="IKM63" s="226"/>
      <c r="IKN63" s="226"/>
      <c r="IKO63" s="224"/>
      <c r="IKP63" s="225"/>
      <c r="IKQ63" s="226"/>
      <c r="IKR63" s="227"/>
      <c r="IKS63" s="228"/>
      <c r="IKT63" s="228"/>
      <c r="IKU63" s="228"/>
      <c r="IKV63" s="228"/>
      <c r="IKW63" s="228"/>
      <c r="IKX63" s="228"/>
      <c r="IKY63" s="226"/>
      <c r="IKZ63" s="226"/>
      <c r="ILA63" s="224"/>
      <c r="ILB63" s="225"/>
      <c r="ILC63" s="226"/>
      <c r="ILD63" s="227"/>
      <c r="ILE63" s="228"/>
      <c r="ILF63" s="228"/>
      <c r="ILG63" s="228"/>
      <c r="ILH63" s="228"/>
      <c r="ILI63" s="228"/>
      <c r="ILJ63" s="228"/>
      <c r="ILK63" s="226"/>
      <c r="ILL63" s="226"/>
      <c r="ILM63" s="224"/>
      <c r="ILN63" s="225"/>
      <c r="ILO63" s="226"/>
      <c r="ILP63" s="227"/>
      <c r="ILQ63" s="228"/>
      <c r="ILR63" s="228"/>
      <c r="ILS63" s="228"/>
      <c r="ILT63" s="228"/>
      <c r="ILU63" s="228"/>
      <c r="ILV63" s="228"/>
      <c r="ILW63" s="226"/>
      <c r="ILX63" s="226"/>
      <c r="ILY63" s="224"/>
      <c r="ILZ63" s="225"/>
      <c r="IMA63" s="226"/>
      <c r="IMB63" s="227"/>
      <c r="IMC63" s="228"/>
      <c r="IMD63" s="228"/>
      <c r="IME63" s="228"/>
      <c r="IMF63" s="228"/>
      <c r="IMG63" s="228"/>
      <c r="IMH63" s="228"/>
      <c r="IMI63" s="226"/>
      <c r="IMJ63" s="226"/>
      <c r="IMK63" s="224"/>
      <c r="IML63" s="225"/>
      <c r="IMM63" s="226"/>
      <c r="IMN63" s="227"/>
      <c r="IMO63" s="228"/>
      <c r="IMP63" s="228"/>
      <c r="IMQ63" s="228"/>
      <c r="IMR63" s="228"/>
      <c r="IMS63" s="228"/>
      <c r="IMT63" s="228"/>
      <c r="IMU63" s="226"/>
      <c r="IMV63" s="226"/>
      <c r="IMW63" s="224"/>
      <c r="IMX63" s="225"/>
      <c r="IMY63" s="226"/>
      <c r="IMZ63" s="227"/>
      <c r="INA63" s="228"/>
      <c r="INB63" s="228"/>
      <c r="INC63" s="228"/>
      <c r="IND63" s="228"/>
      <c r="INE63" s="228"/>
      <c r="INF63" s="228"/>
      <c r="ING63" s="226"/>
      <c r="INH63" s="226"/>
      <c r="INI63" s="224"/>
      <c r="INJ63" s="225"/>
      <c r="INK63" s="226"/>
      <c r="INL63" s="227"/>
      <c r="INM63" s="228"/>
      <c r="INN63" s="228"/>
      <c r="INO63" s="228"/>
      <c r="INP63" s="228"/>
      <c r="INQ63" s="228"/>
      <c r="INR63" s="228"/>
      <c r="INS63" s="226"/>
      <c r="INT63" s="226"/>
      <c r="INU63" s="224"/>
      <c r="INV63" s="225"/>
      <c r="INW63" s="226"/>
      <c r="INX63" s="227"/>
      <c r="INY63" s="228"/>
      <c r="INZ63" s="228"/>
      <c r="IOA63" s="228"/>
      <c r="IOB63" s="228"/>
      <c r="IOC63" s="228"/>
      <c r="IOD63" s="228"/>
      <c r="IOE63" s="226"/>
      <c r="IOF63" s="226"/>
      <c r="IOG63" s="224"/>
      <c r="IOH63" s="225"/>
      <c r="IOI63" s="226"/>
      <c r="IOJ63" s="227"/>
      <c r="IOK63" s="228"/>
      <c r="IOL63" s="228"/>
      <c r="IOM63" s="228"/>
      <c r="ION63" s="228"/>
      <c r="IOO63" s="228"/>
      <c r="IOP63" s="228"/>
      <c r="IOQ63" s="226"/>
      <c r="IOR63" s="226"/>
      <c r="IOS63" s="224"/>
      <c r="IOT63" s="225"/>
      <c r="IOU63" s="226"/>
      <c r="IOV63" s="227"/>
      <c r="IOW63" s="228"/>
      <c r="IOX63" s="228"/>
      <c r="IOY63" s="228"/>
      <c r="IOZ63" s="228"/>
      <c r="IPA63" s="228"/>
      <c r="IPB63" s="228"/>
      <c r="IPC63" s="226"/>
      <c r="IPD63" s="226"/>
      <c r="IPE63" s="224"/>
      <c r="IPF63" s="225"/>
      <c r="IPG63" s="226"/>
      <c r="IPH63" s="227"/>
      <c r="IPI63" s="228"/>
      <c r="IPJ63" s="228"/>
      <c r="IPK63" s="228"/>
      <c r="IPL63" s="228"/>
      <c r="IPM63" s="228"/>
      <c r="IPN63" s="228"/>
      <c r="IPO63" s="226"/>
      <c r="IPP63" s="226"/>
      <c r="IPQ63" s="224"/>
      <c r="IPR63" s="225"/>
      <c r="IPS63" s="226"/>
      <c r="IPT63" s="227"/>
      <c r="IPU63" s="228"/>
      <c r="IPV63" s="228"/>
      <c r="IPW63" s="228"/>
      <c r="IPX63" s="228"/>
      <c r="IPY63" s="228"/>
      <c r="IPZ63" s="228"/>
      <c r="IQA63" s="226"/>
      <c r="IQB63" s="226"/>
      <c r="IQC63" s="224"/>
      <c r="IQD63" s="225"/>
      <c r="IQE63" s="226"/>
      <c r="IQF63" s="227"/>
      <c r="IQG63" s="228"/>
      <c r="IQH63" s="228"/>
      <c r="IQI63" s="228"/>
      <c r="IQJ63" s="228"/>
      <c r="IQK63" s="228"/>
      <c r="IQL63" s="228"/>
      <c r="IQM63" s="226"/>
      <c r="IQN63" s="226"/>
      <c r="IQO63" s="224"/>
      <c r="IQP63" s="225"/>
      <c r="IQQ63" s="226"/>
      <c r="IQR63" s="227"/>
      <c r="IQS63" s="228"/>
      <c r="IQT63" s="228"/>
      <c r="IQU63" s="228"/>
      <c r="IQV63" s="228"/>
      <c r="IQW63" s="228"/>
      <c r="IQX63" s="228"/>
      <c r="IQY63" s="226"/>
      <c r="IQZ63" s="226"/>
      <c r="IRA63" s="224"/>
      <c r="IRB63" s="225"/>
      <c r="IRC63" s="226"/>
      <c r="IRD63" s="227"/>
      <c r="IRE63" s="228"/>
      <c r="IRF63" s="228"/>
      <c r="IRG63" s="228"/>
      <c r="IRH63" s="228"/>
      <c r="IRI63" s="228"/>
      <c r="IRJ63" s="228"/>
      <c r="IRK63" s="226"/>
      <c r="IRL63" s="226"/>
      <c r="IRM63" s="224"/>
      <c r="IRN63" s="225"/>
      <c r="IRO63" s="226"/>
      <c r="IRP63" s="227"/>
      <c r="IRQ63" s="228"/>
      <c r="IRR63" s="228"/>
      <c r="IRS63" s="228"/>
      <c r="IRT63" s="228"/>
      <c r="IRU63" s="228"/>
      <c r="IRV63" s="228"/>
      <c r="IRW63" s="226"/>
      <c r="IRX63" s="226"/>
      <c r="IRY63" s="224"/>
      <c r="IRZ63" s="225"/>
      <c r="ISA63" s="226"/>
      <c r="ISB63" s="227"/>
      <c r="ISC63" s="228"/>
      <c r="ISD63" s="228"/>
      <c r="ISE63" s="228"/>
      <c r="ISF63" s="228"/>
      <c r="ISG63" s="228"/>
      <c r="ISH63" s="228"/>
      <c r="ISI63" s="226"/>
      <c r="ISJ63" s="226"/>
      <c r="ISK63" s="224"/>
      <c r="ISL63" s="225"/>
      <c r="ISM63" s="226"/>
      <c r="ISN63" s="227"/>
      <c r="ISO63" s="228"/>
      <c r="ISP63" s="228"/>
      <c r="ISQ63" s="228"/>
      <c r="ISR63" s="228"/>
      <c r="ISS63" s="228"/>
      <c r="IST63" s="228"/>
      <c r="ISU63" s="226"/>
      <c r="ISV63" s="226"/>
      <c r="ISW63" s="224"/>
      <c r="ISX63" s="225"/>
      <c r="ISY63" s="226"/>
      <c r="ISZ63" s="227"/>
      <c r="ITA63" s="228"/>
      <c r="ITB63" s="228"/>
      <c r="ITC63" s="228"/>
      <c r="ITD63" s="228"/>
      <c r="ITE63" s="228"/>
      <c r="ITF63" s="228"/>
      <c r="ITG63" s="226"/>
      <c r="ITH63" s="226"/>
      <c r="ITI63" s="224"/>
      <c r="ITJ63" s="225"/>
      <c r="ITK63" s="226"/>
      <c r="ITL63" s="227"/>
      <c r="ITM63" s="228"/>
      <c r="ITN63" s="228"/>
      <c r="ITO63" s="228"/>
      <c r="ITP63" s="228"/>
      <c r="ITQ63" s="228"/>
      <c r="ITR63" s="228"/>
      <c r="ITS63" s="226"/>
      <c r="ITT63" s="226"/>
      <c r="ITU63" s="224"/>
      <c r="ITV63" s="225"/>
      <c r="ITW63" s="226"/>
      <c r="ITX63" s="227"/>
      <c r="ITY63" s="228"/>
      <c r="ITZ63" s="228"/>
      <c r="IUA63" s="228"/>
      <c r="IUB63" s="228"/>
      <c r="IUC63" s="228"/>
      <c r="IUD63" s="228"/>
      <c r="IUE63" s="226"/>
      <c r="IUF63" s="226"/>
      <c r="IUG63" s="224"/>
      <c r="IUH63" s="225"/>
      <c r="IUI63" s="226"/>
      <c r="IUJ63" s="227"/>
      <c r="IUK63" s="228"/>
      <c r="IUL63" s="228"/>
      <c r="IUM63" s="228"/>
      <c r="IUN63" s="228"/>
      <c r="IUO63" s="228"/>
      <c r="IUP63" s="228"/>
      <c r="IUQ63" s="226"/>
      <c r="IUR63" s="226"/>
      <c r="IUS63" s="224"/>
      <c r="IUT63" s="225"/>
      <c r="IUU63" s="226"/>
      <c r="IUV63" s="227"/>
      <c r="IUW63" s="228"/>
      <c r="IUX63" s="228"/>
      <c r="IUY63" s="228"/>
      <c r="IUZ63" s="228"/>
      <c r="IVA63" s="228"/>
      <c r="IVB63" s="228"/>
      <c r="IVC63" s="226"/>
      <c r="IVD63" s="226"/>
      <c r="IVE63" s="224"/>
      <c r="IVF63" s="225"/>
      <c r="IVG63" s="226"/>
      <c r="IVH63" s="227"/>
      <c r="IVI63" s="228"/>
      <c r="IVJ63" s="228"/>
      <c r="IVK63" s="228"/>
      <c r="IVL63" s="228"/>
      <c r="IVM63" s="228"/>
      <c r="IVN63" s="228"/>
      <c r="IVO63" s="226"/>
      <c r="IVP63" s="226"/>
      <c r="IVQ63" s="224"/>
      <c r="IVR63" s="225"/>
      <c r="IVS63" s="226"/>
      <c r="IVT63" s="227"/>
      <c r="IVU63" s="228"/>
      <c r="IVV63" s="228"/>
      <c r="IVW63" s="228"/>
      <c r="IVX63" s="228"/>
      <c r="IVY63" s="228"/>
      <c r="IVZ63" s="228"/>
      <c r="IWA63" s="226"/>
      <c r="IWB63" s="226"/>
      <c r="IWC63" s="224"/>
      <c r="IWD63" s="225"/>
      <c r="IWE63" s="226"/>
      <c r="IWF63" s="227"/>
      <c r="IWG63" s="228"/>
      <c r="IWH63" s="228"/>
      <c r="IWI63" s="228"/>
      <c r="IWJ63" s="228"/>
      <c r="IWK63" s="228"/>
      <c r="IWL63" s="228"/>
      <c r="IWM63" s="226"/>
      <c r="IWN63" s="226"/>
      <c r="IWO63" s="224"/>
      <c r="IWP63" s="225"/>
      <c r="IWQ63" s="226"/>
      <c r="IWR63" s="227"/>
      <c r="IWS63" s="228"/>
      <c r="IWT63" s="228"/>
      <c r="IWU63" s="228"/>
      <c r="IWV63" s="228"/>
      <c r="IWW63" s="228"/>
      <c r="IWX63" s="228"/>
      <c r="IWY63" s="226"/>
      <c r="IWZ63" s="226"/>
      <c r="IXA63" s="224"/>
      <c r="IXB63" s="225"/>
      <c r="IXC63" s="226"/>
      <c r="IXD63" s="227"/>
      <c r="IXE63" s="228"/>
      <c r="IXF63" s="228"/>
      <c r="IXG63" s="228"/>
      <c r="IXH63" s="228"/>
      <c r="IXI63" s="228"/>
      <c r="IXJ63" s="228"/>
      <c r="IXK63" s="226"/>
      <c r="IXL63" s="226"/>
      <c r="IXM63" s="224"/>
      <c r="IXN63" s="225"/>
      <c r="IXO63" s="226"/>
      <c r="IXP63" s="227"/>
      <c r="IXQ63" s="228"/>
      <c r="IXR63" s="228"/>
      <c r="IXS63" s="228"/>
      <c r="IXT63" s="228"/>
      <c r="IXU63" s="228"/>
      <c r="IXV63" s="228"/>
      <c r="IXW63" s="226"/>
      <c r="IXX63" s="226"/>
      <c r="IXY63" s="224"/>
      <c r="IXZ63" s="225"/>
      <c r="IYA63" s="226"/>
      <c r="IYB63" s="227"/>
      <c r="IYC63" s="228"/>
      <c r="IYD63" s="228"/>
      <c r="IYE63" s="228"/>
      <c r="IYF63" s="228"/>
      <c r="IYG63" s="228"/>
      <c r="IYH63" s="228"/>
      <c r="IYI63" s="226"/>
      <c r="IYJ63" s="226"/>
      <c r="IYK63" s="224"/>
      <c r="IYL63" s="225"/>
      <c r="IYM63" s="226"/>
      <c r="IYN63" s="227"/>
      <c r="IYO63" s="228"/>
      <c r="IYP63" s="228"/>
      <c r="IYQ63" s="228"/>
      <c r="IYR63" s="228"/>
      <c r="IYS63" s="228"/>
      <c r="IYT63" s="228"/>
      <c r="IYU63" s="226"/>
      <c r="IYV63" s="226"/>
      <c r="IYW63" s="224"/>
      <c r="IYX63" s="225"/>
      <c r="IYY63" s="226"/>
      <c r="IYZ63" s="227"/>
      <c r="IZA63" s="228"/>
      <c r="IZB63" s="228"/>
      <c r="IZC63" s="228"/>
      <c r="IZD63" s="228"/>
      <c r="IZE63" s="228"/>
      <c r="IZF63" s="228"/>
      <c r="IZG63" s="226"/>
      <c r="IZH63" s="226"/>
      <c r="IZI63" s="224"/>
      <c r="IZJ63" s="225"/>
      <c r="IZK63" s="226"/>
      <c r="IZL63" s="227"/>
      <c r="IZM63" s="228"/>
      <c r="IZN63" s="228"/>
      <c r="IZO63" s="228"/>
      <c r="IZP63" s="228"/>
      <c r="IZQ63" s="228"/>
      <c r="IZR63" s="228"/>
      <c r="IZS63" s="226"/>
      <c r="IZT63" s="226"/>
      <c r="IZU63" s="224"/>
      <c r="IZV63" s="225"/>
      <c r="IZW63" s="226"/>
      <c r="IZX63" s="227"/>
      <c r="IZY63" s="228"/>
      <c r="IZZ63" s="228"/>
      <c r="JAA63" s="228"/>
      <c r="JAB63" s="228"/>
      <c r="JAC63" s="228"/>
      <c r="JAD63" s="228"/>
      <c r="JAE63" s="226"/>
      <c r="JAF63" s="226"/>
      <c r="JAG63" s="224"/>
      <c r="JAH63" s="225"/>
      <c r="JAI63" s="226"/>
      <c r="JAJ63" s="227"/>
      <c r="JAK63" s="228"/>
      <c r="JAL63" s="228"/>
      <c r="JAM63" s="228"/>
      <c r="JAN63" s="228"/>
      <c r="JAO63" s="228"/>
      <c r="JAP63" s="228"/>
      <c r="JAQ63" s="226"/>
      <c r="JAR63" s="226"/>
      <c r="JAS63" s="224"/>
      <c r="JAT63" s="225"/>
      <c r="JAU63" s="226"/>
      <c r="JAV63" s="227"/>
      <c r="JAW63" s="228"/>
      <c r="JAX63" s="228"/>
      <c r="JAY63" s="228"/>
      <c r="JAZ63" s="228"/>
      <c r="JBA63" s="228"/>
      <c r="JBB63" s="228"/>
      <c r="JBC63" s="226"/>
      <c r="JBD63" s="226"/>
      <c r="JBE63" s="224"/>
      <c r="JBF63" s="225"/>
      <c r="JBG63" s="226"/>
      <c r="JBH63" s="227"/>
      <c r="JBI63" s="228"/>
      <c r="JBJ63" s="228"/>
      <c r="JBK63" s="228"/>
      <c r="JBL63" s="228"/>
      <c r="JBM63" s="228"/>
      <c r="JBN63" s="228"/>
      <c r="JBO63" s="226"/>
      <c r="JBP63" s="226"/>
      <c r="JBQ63" s="224"/>
      <c r="JBR63" s="225"/>
      <c r="JBS63" s="226"/>
      <c r="JBT63" s="227"/>
      <c r="JBU63" s="228"/>
      <c r="JBV63" s="228"/>
      <c r="JBW63" s="228"/>
      <c r="JBX63" s="228"/>
      <c r="JBY63" s="228"/>
      <c r="JBZ63" s="228"/>
      <c r="JCA63" s="226"/>
      <c r="JCB63" s="226"/>
      <c r="JCC63" s="224"/>
      <c r="JCD63" s="225"/>
      <c r="JCE63" s="226"/>
      <c r="JCF63" s="227"/>
      <c r="JCG63" s="228"/>
      <c r="JCH63" s="228"/>
      <c r="JCI63" s="228"/>
      <c r="JCJ63" s="228"/>
      <c r="JCK63" s="228"/>
      <c r="JCL63" s="228"/>
      <c r="JCM63" s="226"/>
      <c r="JCN63" s="226"/>
      <c r="JCO63" s="224"/>
      <c r="JCP63" s="225"/>
      <c r="JCQ63" s="226"/>
      <c r="JCR63" s="227"/>
      <c r="JCS63" s="228"/>
      <c r="JCT63" s="228"/>
      <c r="JCU63" s="228"/>
      <c r="JCV63" s="228"/>
      <c r="JCW63" s="228"/>
      <c r="JCX63" s="228"/>
      <c r="JCY63" s="226"/>
      <c r="JCZ63" s="226"/>
      <c r="JDA63" s="224"/>
      <c r="JDB63" s="225"/>
      <c r="JDC63" s="226"/>
      <c r="JDD63" s="227"/>
      <c r="JDE63" s="228"/>
      <c r="JDF63" s="228"/>
      <c r="JDG63" s="228"/>
      <c r="JDH63" s="228"/>
      <c r="JDI63" s="228"/>
      <c r="JDJ63" s="228"/>
      <c r="JDK63" s="226"/>
      <c r="JDL63" s="226"/>
      <c r="JDM63" s="224"/>
      <c r="JDN63" s="225"/>
      <c r="JDO63" s="226"/>
      <c r="JDP63" s="227"/>
      <c r="JDQ63" s="228"/>
      <c r="JDR63" s="228"/>
      <c r="JDS63" s="228"/>
      <c r="JDT63" s="228"/>
      <c r="JDU63" s="228"/>
      <c r="JDV63" s="228"/>
      <c r="JDW63" s="226"/>
      <c r="JDX63" s="226"/>
      <c r="JDY63" s="224"/>
      <c r="JDZ63" s="225"/>
      <c r="JEA63" s="226"/>
      <c r="JEB63" s="227"/>
      <c r="JEC63" s="228"/>
      <c r="JED63" s="228"/>
      <c r="JEE63" s="228"/>
      <c r="JEF63" s="228"/>
      <c r="JEG63" s="228"/>
      <c r="JEH63" s="228"/>
      <c r="JEI63" s="226"/>
      <c r="JEJ63" s="226"/>
      <c r="JEK63" s="224"/>
      <c r="JEL63" s="225"/>
      <c r="JEM63" s="226"/>
      <c r="JEN63" s="227"/>
      <c r="JEO63" s="228"/>
      <c r="JEP63" s="228"/>
      <c r="JEQ63" s="228"/>
      <c r="JER63" s="228"/>
      <c r="JES63" s="228"/>
      <c r="JET63" s="228"/>
      <c r="JEU63" s="226"/>
      <c r="JEV63" s="226"/>
      <c r="JEW63" s="224"/>
      <c r="JEX63" s="225"/>
      <c r="JEY63" s="226"/>
      <c r="JEZ63" s="227"/>
      <c r="JFA63" s="228"/>
      <c r="JFB63" s="228"/>
      <c r="JFC63" s="228"/>
      <c r="JFD63" s="228"/>
      <c r="JFE63" s="228"/>
      <c r="JFF63" s="228"/>
      <c r="JFG63" s="226"/>
      <c r="JFH63" s="226"/>
      <c r="JFI63" s="224"/>
      <c r="JFJ63" s="225"/>
      <c r="JFK63" s="226"/>
      <c r="JFL63" s="227"/>
      <c r="JFM63" s="228"/>
      <c r="JFN63" s="228"/>
      <c r="JFO63" s="228"/>
      <c r="JFP63" s="228"/>
      <c r="JFQ63" s="228"/>
      <c r="JFR63" s="228"/>
      <c r="JFS63" s="226"/>
      <c r="JFT63" s="226"/>
      <c r="JFU63" s="224"/>
      <c r="JFV63" s="225"/>
      <c r="JFW63" s="226"/>
      <c r="JFX63" s="227"/>
      <c r="JFY63" s="228"/>
      <c r="JFZ63" s="228"/>
      <c r="JGA63" s="228"/>
      <c r="JGB63" s="228"/>
      <c r="JGC63" s="228"/>
      <c r="JGD63" s="228"/>
      <c r="JGE63" s="226"/>
      <c r="JGF63" s="226"/>
      <c r="JGG63" s="224"/>
      <c r="JGH63" s="225"/>
      <c r="JGI63" s="226"/>
      <c r="JGJ63" s="227"/>
      <c r="JGK63" s="228"/>
      <c r="JGL63" s="228"/>
      <c r="JGM63" s="228"/>
      <c r="JGN63" s="228"/>
      <c r="JGO63" s="228"/>
      <c r="JGP63" s="228"/>
      <c r="JGQ63" s="226"/>
      <c r="JGR63" s="226"/>
      <c r="JGS63" s="224"/>
      <c r="JGT63" s="225"/>
      <c r="JGU63" s="226"/>
      <c r="JGV63" s="227"/>
      <c r="JGW63" s="228"/>
      <c r="JGX63" s="228"/>
      <c r="JGY63" s="228"/>
      <c r="JGZ63" s="228"/>
      <c r="JHA63" s="228"/>
      <c r="JHB63" s="228"/>
      <c r="JHC63" s="226"/>
      <c r="JHD63" s="226"/>
      <c r="JHE63" s="224"/>
      <c r="JHF63" s="225"/>
      <c r="JHG63" s="226"/>
      <c r="JHH63" s="227"/>
      <c r="JHI63" s="228"/>
      <c r="JHJ63" s="228"/>
      <c r="JHK63" s="228"/>
      <c r="JHL63" s="228"/>
      <c r="JHM63" s="228"/>
      <c r="JHN63" s="228"/>
      <c r="JHO63" s="226"/>
      <c r="JHP63" s="226"/>
      <c r="JHQ63" s="224"/>
      <c r="JHR63" s="225"/>
      <c r="JHS63" s="226"/>
      <c r="JHT63" s="227"/>
      <c r="JHU63" s="228"/>
      <c r="JHV63" s="228"/>
      <c r="JHW63" s="228"/>
      <c r="JHX63" s="228"/>
      <c r="JHY63" s="228"/>
      <c r="JHZ63" s="228"/>
      <c r="JIA63" s="226"/>
      <c r="JIB63" s="226"/>
      <c r="JIC63" s="224"/>
      <c r="JID63" s="225"/>
      <c r="JIE63" s="226"/>
      <c r="JIF63" s="227"/>
      <c r="JIG63" s="228"/>
      <c r="JIH63" s="228"/>
      <c r="JII63" s="228"/>
      <c r="JIJ63" s="228"/>
      <c r="JIK63" s="228"/>
      <c r="JIL63" s="228"/>
      <c r="JIM63" s="226"/>
      <c r="JIN63" s="226"/>
      <c r="JIO63" s="224"/>
      <c r="JIP63" s="225"/>
      <c r="JIQ63" s="226"/>
      <c r="JIR63" s="227"/>
      <c r="JIS63" s="228"/>
      <c r="JIT63" s="228"/>
      <c r="JIU63" s="228"/>
      <c r="JIV63" s="228"/>
      <c r="JIW63" s="228"/>
      <c r="JIX63" s="228"/>
      <c r="JIY63" s="226"/>
      <c r="JIZ63" s="226"/>
      <c r="JJA63" s="224"/>
      <c r="JJB63" s="225"/>
      <c r="JJC63" s="226"/>
      <c r="JJD63" s="227"/>
      <c r="JJE63" s="228"/>
      <c r="JJF63" s="228"/>
      <c r="JJG63" s="228"/>
      <c r="JJH63" s="228"/>
      <c r="JJI63" s="228"/>
      <c r="JJJ63" s="228"/>
      <c r="JJK63" s="226"/>
      <c r="JJL63" s="226"/>
      <c r="JJM63" s="224"/>
      <c r="JJN63" s="225"/>
      <c r="JJO63" s="226"/>
      <c r="JJP63" s="227"/>
      <c r="JJQ63" s="228"/>
      <c r="JJR63" s="228"/>
      <c r="JJS63" s="228"/>
      <c r="JJT63" s="228"/>
      <c r="JJU63" s="228"/>
      <c r="JJV63" s="228"/>
      <c r="JJW63" s="226"/>
      <c r="JJX63" s="226"/>
      <c r="JJY63" s="224"/>
      <c r="JJZ63" s="225"/>
      <c r="JKA63" s="226"/>
      <c r="JKB63" s="227"/>
      <c r="JKC63" s="228"/>
      <c r="JKD63" s="228"/>
      <c r="JKE63" s="228"/>
      <c r="JKF63" s="228"/>
      <c r="JKG63" s="228"/>
      <c r="JKH63" s="228"/>
      <c r="JKI63" s="226"/>
      <c r="JKJ63" s="226"/>
      <c r="JKK63" s="224"/>
      <c r="JKL63" s="225"/>
      <c r="JKM63" s="226"/>
      <c r="JKN63" s="227"/>
      <c r="JKO63" s="228"/>
      <c r="JKP63" s="228"/>
      <c r="JKQ63" s="228"/>
      <c r="JKR63" s="228"/>
      <c r="JKS63" s="228"/>
      <c r="JKT63" s="228"/>
      <c r="JKU63" s="226"/>
      <c r="JKV63" s="226"/>
      <c r="JKW63" s="224"/>
      <c r="JKX63" s="225"/>
      <c r="JKY63" s="226"/>
      <c r="JKZ63" s="227"/>
      <c r="JLA63" s="228"/>
      <c r="JLB63" s="228"/>
      <c r="JLC63" s="228"/>
      <c r="JLD63" s="228"/>
      <c r="JLE63" s="228"/>
      <c r="JLF63" s="228"/>
      <c r="JLG63" s="226"/>
      <c r="JLH63" s="226"/>
      <c r="JLI63" s="224"/>
      <c r="JLJ63" s="225"/>
      <c r="JLK63" s="226"/>
      <c r="JLL63" s="227"/>
      <c r="JLM63" s="228"/>
      <c r="JLN63" s="228"/>
      <c r="JLO63" s="228"/>
      <c r="JLP63" s="228"/>
      <c r="JLQ63" s="228"/>
      <c r="JLR63" s="228"/>
      <c r="JLS63" s="226"/>
      <c r="JLT63" s="226"/>
      <c r="JLU63" s="224"/>
      <c r="JLV63" s="225"/>
      <c r="JLW63" s="226"/>
      <c r="JLX63" s="227"/>
      <c r="JLY63" s="228"/>
      <c r="JLZ63" s="228"/>
      <c r="JMA63" s="228"/>
      <c r="JMB63" s="228"/>
      <c r="JMC63" s="228"/>
      <c r="JMD63" s="228"/>
      <c r="JME63" s="226"/>
      <c r="JMF63" s="226"/>
      <c r="JMG63" s="224"/>
      <c r="JMH63" s="225"/>
      <c r="JMI63" s="226"/>
      <c r="JMJ63" s="227"/>
      <c r="JMK63" s="228"/>
      <c r="JML63" s="228"/>
      <c r="JMM63" s="228"/>
      <c r="JMN63" s="228"/>
      <c r="JMO63" s="228"/>
      <c r="JMP63" s="228"/>
      <c r="JMQ63" s="226"/>
      <c r="JMR63" s="226"/>
      <c r="JMS63" s="224"/>
      <c r="JMT63" s="225"/>
      <c r="JMU63" s="226"/>
      <c r="JMV63" s="227"/>
      <c r="JMW63" s="228"/>
      <c r="JMX63" s="228"/>
      <c r="JMY63" s="228"/>
      <c r="JMZ63" s="228"/>
      <c r="JNA63" s="228"/>
      <c r="JNB63" s="228"/>
      <c r="JNC63" s="226"/>
      <c r="JND63" s="226"/>
      <c r="JNE63" s="224"/>
      <c r="JNF63" s="225"/>
      <c r="JNG63" s="226"/>
      <c r="JNH63" s="227"/>
      <c r="JNI63" s="228"/>
      <c r="JNJ63" s="228"/>
      <c r="JNK63" s="228"/>
      <c r="JNL63" s="228"/>
      <c r="JNM63" s="228"/>
      <c r="JNN63" s="228"/>
      <c r="JNO63" s="226"/>
      <c r="JNP63" s="226"/>
      <c r="JNQ63" s="224"/>
      <c r="JNR63" s="225"/>
      <c r="JNS63" s="226"/>
      <c r="JNT63" s="227"/>
      <c r="JNU63" s="228"/>
      <c r="JNV63" s="228"/>
      <c r="JNW63" s="228"/>
      <c r="JNX63" s="228"/>
      <c r="JNY63" s="228"/>
      <c r="JNZ63" s="228"/>
      <c r="JOA63" s="226"/>
      <c r="JOB63" s="226"/>
      <c r="JOC63" s="224"/>
      <c r="JOD63" s="225"/>
      <c r="JOE63" s="226"/>
      <c r="JOF63" s="227"/>
      <c r="JOG63" s="228"/>
      <c r="JOH63" s="228"/>
      <c r="JOI63" s="228"/>
      <c r="JOJ63" s="228"/>
      <c r="JOK63" s="228"/>
      <c r="JOL63" s="228"/>
      <c r="JOM63" s="226"/>
      <c r="JON63" s="226"/>
      <c r="JOO63" s="224"/>
      <c r="JOP63" s="225"/>
      <c r="JOQ63" s="226"/>
      <c r="JOR63" s="227"/>
      <c r="JOS63" s="228"/>
      <c r="JOT63" s="228"/>
      <c r="JOU63" s="228"/>
      <c r="JOV63" s="228"/>
      <c r="JOW63" s="228"/>
      <c r="JOX63" s="228"/>
      <c r="JOY63" s="226"/>
      <c r="JOZ63" s="226"/>
      <c r="JPA63" s="224"/>
      <c r="JPB63" s="225"/>
      <c r="JPC63" s="226"/>
      <c r="JPD63" s="227"/>
      <c r="JPE63" s="228"/>
      <c r="JPF63" s="228"/>
      <c r="JPG63" s="228"/>
      <c r="JPH63" s="228"/>
      <c r="JPI63" s="228"/>
      <c r="JPJ63" s="228"/>
      <c r="JPK63" s="226"/>
      <c r="JPL63" s="226"/>
      <c r="JPM63" s="224"/>
      <c r="JPN63" s="225"/>
      <c r="JPO63" s="226"/>
      <c r="JPP63" s="227"/>
      <c r="JPQ63" s="228"/>
      <c r="JPR63" s="228"/>
      <c r="JPS63" s="228"/>
      <c r="JPT63" s="228"/>
      <c r="JPU63" s="228"/>
      <c r="JPV63" s="228"/>
      <c r="JPW63" s="226"/>
      <c r="JPX63" s="226"/>
      <c r="JPY63" s="224"/>
      <c r="JPZ63" s="225"/>
      <c r="JQA63" s="226"/>
      <c r="JQB63" s="227"/>
      <c r="JQC63" s="228"/>
      <c r="JQD63" s="228"/>
      <c r="JQE63" s="228"/>
      <c r="JQF63" s="228"/>
      <c r="JQG63" s="228"/>
      <c r="JQH63" s="228"/>
      <c r="JQI63" s="226"/>
      <c r="JQJ63" s="226"/>
      <c r="JQK63" s="224"/>
      <c r="JQL63" s="225"/>
      <c r="JQM63" s="226"/>
      <c r="JQN63" s="227"/>
      <c r="JQO63" s="228"/>
      <c r="JQP63" s="228"/>
      <c r="JQQ63" s="228"/>
      <c r="JQR63" s="228"/>
      <c r="JQS63" s="228"/>
      <c r="JQT63" s="228"/>
      <c r="JQU63" s="226"/>
      <c r="JQV63" s="226"/>
      <c r="JQW63" s="224"/>
      <c r="JQX63" s="225"/>
      <c r="JQY63" s="226"/>
      <c r="JQZ63" s="227"/>
      <c r="JRA63" s="228"/>
      <c r="JRB63" s="228"/>
      <c r="JRC63" s="228"/>
      <c r="JRD63" s="228"/>
      <c r="JRE63" s="228"/>
      <c r="JRF63" s="228"/>
      <c r="JRG63" s="226"/>
      <c r="JRH63" s="226"/>
      <c r="JRI63" s="224"/>
      <c r="JRJ63" s="225"/>
      <c r="JRK63" s="226"/>
      <c r="JRL63" s="227"/>
      <c r="JRM63" s="228"/>
      <c r="JRN63" s="228"/>
      <c r="JRO63" s="228"/>
      <c r="JRP63" s="228"/>
      <c r="JRQ63" s="228"/>
      <c r="JRR63" s="228"/>
      <c r="JRS63" s="226"/>
      <c r="JRT63" s="226"/>
      <c r="JRU63" s="224"/>
      <c r="JRV63" s="225"/>
      <c r="JRW63" s="226"/>
      <c r="JRX63" s="227"/>
      <c r="JRY63" s="228"/>
      <c r="JRZ63" s="228"/>
      <c r="JSA63" s="228"/>
      <c r="JSB63" s="228"/>
      <c r="JSC63" s="228"/>
      <c r="JSD63" s="228"/>
      <c r="JSE63" s="226"/>
      <c r="JSF63" s="226"/>
      <c r="JSG63" s="224"/>
      <c r="JSH63" s="225"/>
      <c r="JSI63" s="226"/>
      <c r="JSJ63" s="227"/>
      <c r="JSK63" s="228"/>
      <c r="JSL63" s="228"/>
      <c r="JSM63" s="228"/>
      <c r="JSN63" s="228"/>
      <c r="JSO63" s="228"/>
      <c r="JSP63" s="228"/>
      <c r="JSQ63" s="226"/>
      <c r="JSR63" s="226"/>
      <c r="JSS63" s="224"/>
      <c r="JST63" s="225"/>
      <c r="JSU63" s="226"/>
      <c r="JSV63" s="227"/>
      <c r="JSW63" s="228"/>
      <c r="JSX63" s="228"/>
      <c r="JSY63" s="228"/>
      <c r="JSZ63" s="228"/>
      <c r="JTA63" s="228"/>
      <c r="JTB63" s="228"/>
      <c r="JTC63" s="226"/>
      <c r="JTD63" s="226"/>
      <c r="JTE63" s="224"/>
      <c r="JTF63" s="225"/>
      <c r="JTG63" s="226"/>
      <c r="JTH63" s="227"/>
      <c r="JTI63" s="228"/>
      <c r="JTJ63" s="228"/>
      <c r="JTK63" s="228"/>
      <c r="JTL63" s="228"/>
      <c r="JTM63" s="228"/>
      <c r="JTN63" s="228"/>
      <c r="JTO63" s="226"/>
      <c r="JTP63" s="226"/>
      <c r="JTQ63" s="224"/>
      <c r="JTR63" s="225"/>
      <c r="JTS63" s="226"/>
      <c r="JTT63" s="227"/>
      <c r="JTU63" s="228"/>
      <c r="JTV63" s="228"/>
      <c r="JTW63" s="228"/>
      <c r="JTX63" s="228"/>
      <c r="JTY63" s="228"/>
      <c r="JTZ63" s="228"/>
      <c r="JUA63" s="226"/>
      <c r="JUB63" s="226"/>
      <c r="JUC63" s="224"/>
      <c r="JUD63" s="225"/>
      <c r="JUE63" s="226"/>
      <c r="JUF63" s="227"/>
      <c r="JUG63" s="228"/>
      <c r="JUH63" s="228"/>
      <c r="JUI63" s="228"/>
      <c r="JUJ63" s="228"/>
      <c r="JUK63" s="228"/>
      <c r="JUL63" s="228"/>
      <c r="JUM63" s="226"/>
      <c r="JUN63" s="226"/>
      <c r="JUO63" s="224"/>
      <c r="JUP63" s="225"/>
      <c r="JUQ63" s="226"/>
      <c r="JUR63" s="227"/>
      <c r="JUS63" s="228"/>
      <c r="JUT63" s="228"/>
      <c r="JUU63" s="228"/>
      <c r="JUV63" s="228"/>
      <c r="JUW63" s="228"/>
      <c r="JUX63" s="228"/>
      <c r="JUY63" s="226"/>
      <c r="JUZ63" s="226"/>
      <c r="JVA63" s="224"/>
      <c r="JVB63" s="225"/>
      <c r="JVC63" s="226"/>
      <c r="JVD63" s="227"/>
      <c r="JVE63" s="228"/>
      <c r="JVF63" s="228"/>
      <c r="JVG63" s="228"/>
      <c r="JVH63" s="228"/>
      <c r="JVI63" s="228"/>
      <c r="JVJ63" s="228"/>
      <c r="JVK63" s="226"/>
      <c r="JVL63" s="226"/>
      <c r="JVM63" s="224"/>
      <c r="JVN63" s="225"/>
      <c r="JVO63" s="226"/>
      <c r="JVP63" s="227"/>
      <c r="JVQ63" s="228"/>
      <c r="JVR63" s="228"/>
      <c r="JVS63" s="228"/>
      <c r="JVT63" s="228"/>
      <c r="JVU63" s="228"/>
      <c r="JVV63" s="228"/>
      <c r="JVW63" s="226"/>
      <c r="JVX63" s="226"/>
      <c r="JVY63" s="224"/>
      <c r="JVZ63" s="225"/>
      <c r="JWA63" s="226"/>
      <c r="JWB63" s="227"/>
      <c r="JWC63" s="228"/>
      <c r="JWD63" s="228"/>
      <c r="JWE63" s="228"/>
      <c r="JWF63" s="228"/>
      <c r="JWG63" s="228"/>
      <c r="JWH63" s="228"/>
      <c r="JWI63" s="226"/>
      <c r="JWJ63" s="226"/>
      <c r="JWK63" s="224"/>
      <c r="JWL63" s="225"/>
      <c r="JWM63" s="226"/>
      <c r="JWN63" s="227"/>
      <c r="JWO63" s="228"/>
      <c r="JWP63" s="228"/>
      <c r="JWQ63" s="228"/>
      <c r="JWR63" s="228"/>
      <c r="JWS63" s="228"/>
      <c r="JWT63" s="228"/>
      <c r="JWU63" s="226"/>
      <c r="JWV63" s="226"/>
      <c r="JWW63" s="224"/>
      <c r="JWX63" s="225"/>
      <c r="JWY63" s="226"/>
      <c r="JWZ63" s="227"/>
      <c r="JXA63" s="228"/>
      <c r="JXB63" s="228"/>
      <c r="JXC63" s="228"/>
      <c r="JXD63" s="228"/>
      <c r="JXE63" s="228"/>
      <c r="JXF63" s="228"/>
      <c r="JXG63" s="226"/>
      <c r="JXH63" s="226"/>
      <c r="JXI63" s="224"/>
      <c r="JXJ63" s="225"/>
      <c r="JXK63" s="226"/>
      <c r="JXL63" s="227"/>
      <c r="JXM63" s="228"/>
      <c r="JXN63" s="228"/>
      <c r="JXO63" s="228"/>
      <c r="JXP63" s="228"/>
      <c r="JXQ63" s="228"/>
      <c r="JXR63" s="228"/>
      <c r="JXS63" s="226"/>
      <c r="JXT63" s="226"/>
      <c r="JXU63" s="224"/>
      <c r="JXV63" s="225"/>
      <c r="JXW63" s="226"/>
      <c r="JXX63" s="227"/>
      <c r="JXY63" s="228"/>
      <c r="JXZ63" s="228"/>
      <c r="JYA63" s="228"/>
      <c r="JYB63" s="228"/>
      <c r="JYC63" s="228"/>
      <c r="JYD63" s="228"/>
      <c r="JYE63" s="226"/>
      <c r="JYF63" s="226"/>
      <c r="JYG63" s="224"/>
      <c r="JYH63" s="225"/>
      <c r="JYI63" s="226"/>
      <c r="JYJ63" s="227"/>
      <c r="JYK63" s="228"/>
      <c r="JYL63" s="228"/>
      <c r="JYM63" s="228"/>
      <c r="JYN63" s="228"/>
      <c r="JYO63" s="228"/>
      <c r="JYP63" s="228"/>
      <c r="JYQ63" s="226"/>
      <c r="JYR63" s="226"/>
      <c r="JYS63" s="224"/>
      <c r="JYT63" s="225"/>
      <c r="JYU63" s="226"/>
      <c r="JYV63" s="227"/>
      <c r="JYW63" s="228"/>
      <c r="JYX63" s="228"/>
      <c r="JYY63" s="228"/>
      <c r="JYZ63" s="228"/>
      <c r="JZA63" s="228"/>
      <c r="JZB63" s="228"/>
      <c r="JZC63" s="226"/>
      <c r="JZD63" s="226"/>
      <c r="JZE63" s="224"/>
      <c r="JZF63" s="225"/>
      <c r="JZG63" s="226"/>
      <c r="JZH63" s="227"/>
      <c r="JZI63" s="228"/>
      <c r="JZJ63" s="228"/>
      <c r="JZK63" s="228"/>
      <c r="JZL63" s="228"/>
      <c r="JZM63" s="228"/>
      <c r="JZN63" s="228"/>
      <c r="JZO63" s="226"/>
      <c r="JZP63" s="226"/>
      <c r="JZQ63" s="224"/>
      <c r="JZR63" s="225"/>
      <c r="JZS63" s="226"/>
      <c r="JZT63" s="227"/>
      <c r="JZU63" s="228"/>
      <c r="JZV63" s="228"/>
      <c r="JZW63" s="228"/>
      <c r="JZX63" s="228"/>
      <c r="JZY63" s="228"/>
      <c r="JZZ63" s="228"/>
      <c r="KAA63" s="226"/>
      <c r="KAB63" s="226"/>
      <c r="KAC63" s="224"/>
      <c r="KAD63" s="225"/>
      <c r="KAE63" s="226"/>
      <c r="KAF63" s="227"/>
      <c r="KAG63" s="228"/>
      <c r="KAH63" s="228"/>
      <c r="KAI63" s="228"/>
      <c r="KAJ63" s="228"/>
      <c r="KAK63" s="228"/>
      <c r="KAL63" s="228"/>
      <c r="KAM63" s="226"/>
      <c r="KAN63" s="226"/>
      <c r="KAO63" s="224"/>
      <c r="KAP63" s="225"/>
      <c r="KAQ63" s="226"/>
      <c r="KAR63" s="227"/>
      <c r="KAS63" s="228"/>
      <c r="KAT63" s="228"/>
      <c r="KAU63" s="228"/>
      <c r="KAV63" s="228"/>
      <c r="KAW63" s="228"/>
      <c r="KAX63" s="228"/>
      <c r="KAY63" s="226"/>
      <c r="KAZ63" s="226"/>
      <c r="KBA63" s="224"/>
      <c r="KBB63" s="225"/>
      <c r="KBC63" s="226"/>
      <c r="KBD63" s="227"/>
      <c r="KBE63" s="228"/>
      <c r="KBF63" s="228"/>
      <c r="KBG63" s="228"/>
      <c r="KBH63" s="228"/>
      <c r="KBI63" s="228"/>
      <c r="KBJ63" s="228"/>
      <c r="KBK63" s="226"/>
      <c r="KBL63" s="226"/>
      <c r="KBM63" s="224"/>
      <c r="KBN63" s="225"/>
      <c r="KBO63" s="226"/>
      <c r="KBP63" s="227"/>
      <c r="KBQ63" s="228"/>
      <c r="KBR63" s="228"/>
      <c r="KBS63" s="228"/>
      <c r="KBT63" s="228"/>
      <c r="KBU63" s="228"/>
      <c r="KBV63" s="228"/>
      <c r="KBW63" s="226"/>
      <c r="KBX63" s="226"/>
      <c r="KBY63" s="224"/>
      <c r="KBZ63" s="225"/>
      <c r="KCA63" s="226"/>
      <c r="KCB63" s="227"/>
      <c r="KCC63" s="228"/>
      <c r="KCD63" s="228"/>
      <c r="KCE63" s="228"/>
      <c r="KCF63" s="228"/>
      <c r="KCG63" s="228"/>
      <c r="KCH63" s="228"/>
      <c r="KCI63" s="226"/>
      <c r="KCJ63" s="226"/>
      <c r="KCK63" s="224"/>
      <c r="KCL63" s="225"/>
      <c r="KCM63" s="226"/>
      <c r="KCN63" s="227"/>
      <c r="KCO63" s="228"/>
      <c r="KCP63" s="228"/>
      <c r="KCQ63" s="228"/>
      <c r="KCR63" s="228"/>
      <c r="KCS63" s="228"/>
      <c r="KCT63" s="228"/>
      <c r="KCU63" s="226"/>
      <c r="KCV63" s="226"/>
      <c r="KCW63" s="224"/>
      <c r="KCX63" s="225"/>
      <c r="KCY63" s="226"/>
      <c r="KCZ63" s="227"/>
      <c r="KDA63" s="228"/>
      <c r="KDB63" s="228"/>
      <c r="KDC63" s="228"/>
      <c r="KDD63" s="228"/>
      <c r="KDE63" s="228"/>
      <c r="KDF63" s="228"/>
      <c r="KDG63" s="226"/>
      <c r="KDH63" s="226"/>
      <c r="KDI63" s="224"/>
      <c r="KDJ63" s="225"/>
      <c r="KDK63" s="226"/>
      <c r="KDL63" s="227"/>
      <c r="KDM63" s="228"/>
      <c r="KDN63" s="228"/>
      <c r="KDO63" s="228"/>
      <c r="KDP63" s="228"/>
      <c r="KDQ63" s="228"/>
      <c r="KDR63" s="228"/>
      <c r="KDS63" s="226"/>
      <c r="KDT63" s="226"/>
      <c r="KDU63" s="224"/>
      <c r="KDV63" s="225"/>
      <c r="KDW63" s="226"/>
      <c r="KDX63" s="227"/>
      <c r="KDY63" s="228"/>
      <c r="KDZ63" s="228"/>
      <c r="KEA63" s="228"/>
      <c r="KEB63" s="228"/>
      <c r="KEC63" s="228"/>
      <c r="KED63" s="228"/>
      <c r="KEE63" s="226"/>
      <c r="KEF63" s="226"/>
      <c r="KEG63" s="224"/>
      <c r="KEH63" s="225"/>
      <c r="KEI63" s="226"/>
      <c r="KEJ63" s="227"/>
      <c r="KEK63" s="228"/>
      <c r="KEL63" s="228"/>
      <c r="KEM63" s="228"/>
      <c r="KEN63" s="228"/>
      <c r="KEO63" s="228"/>
      <c r="KEP63" s="228"/>
      <c r="KEQ63" s="226"/>
      <c r="KER63" s="226"/>
      <c r="KES63" s="224"/>
      <c r="KET63" s="225"/>
      <c r="KEU63" s="226"/>
      <c r="KEV63" s="227"/>
      <c r="KEW63" s="228"/>
      <c r="KEX63" s="228"/>
      <c r="KEY63" s="228"/>
      <c r="KEZ63" s="228"/>
      <c r="KFA63" s="228"/>
      <c r="KFB63" s="228"/>
      <c r="KFC63" s="226"/>
      <c r="KFD63" s="226"/>
      <c r="KFE63" s="224"/>
      <c r="KFF63" s="225"/>
      <c r="KFG63" s="226"/>
      <c r="KFH63" s="227"/>
      <c r="KFI63" s="228"/>
      <c r="KFJ63" s="228"/>
      <c r="KFK63" s="228"/>
      <c r="KFL63" s="228"/>
      <c r="KFM63" s="228"/>
      <c r="KFN63" s="228"/>
      <c r="KFO63" s="226"/>
      <c r="KFP63" s="226"/>
      <c r="KFQ63" s="224"/>
      <c r="KFR63" s="225"/>
      <c r="KFS63" s="226"/>
      <c r="KFT63" s="227"/>
      <c r="KFU63" s="228"/>
      <c r="KFV63" s="228"/>
      <c r="KFW63" s="228"/>
      <c r="KFX63" s="228"/>
      <c r="KFY63" s="228"/>
      <c r="KFZ63" s="228"/>
      <c r="KGA63" s="226"/>
      <c r="KGB63" s="226"/>
      <c r="KGC63" s="224"/>
      <c r="KGD63" s="225"/>
      <c r="KGE63" s="226"/>
      <c r="KGF63" s="227"/>
      <c r="KGG63" s="228"/>
      <c r="KGH63" s="228"/>
      <c r="KGI63" s="228"/>
      <c r="KGJ63" s="228"/>
      <c r="KGK63" s="228"/>
      <c r="KGL63" s="228"/>
      <c r="KGM63" s="226"/>
      <c r="KGN63" s="226"/>
      <c r="KGO63" s="224"/>
      <c r="KGP63" s="225"/>
      <c r="KGQ63" s="226"/>
      <c r="KGR63" s="227"/>
      <c r="KGS63" s="228"/>
      <c r="KGT63" s="228"/>
      <c r="KGU63" s="228"/>
      <c r="KGV63" s="228"/>
      <c r="KGW63" s="228"/>
      <c r="KGX63" s="228"/>
      <c r="KGY63" s="226"/>
      <c r="KGZ63" s="226"/>
      <c r="KHA63" s="224"/>
      <c r="KHB63" s="225"/>
      <c r="KHC63" s="226"/>
      <c r="KHD63" s="227"/>
      <c r="KHE63" s="228"/>
      <c r="KHF63" s="228"/>
      <c r="KHG63" s="228"/>
      <c r="KHH63" s="228"/>
      <c r="KHI63" s="228"/>
      <c r="KHJ63" s="228"/>
      <c r="KHK63" s="226"/>
      <c r="KHL63" s="226"/>
      <c r="KHM63" s="224"/>
      <c r="KHN63" s="225"/>
      <c r="KHO63" s="226"/>
      <c r="KHP63" s="227"/>
      <c r="KHQ63" s="228"/>
      <c r="KHR63" s="228"/>
      <c r="KHS63" s="228"/>
      <c r="KHT63" s="228"/>
      <c r="KHU63" s="228"/>
      <c r="KHV63" s="228"/>
      <c r="KHW63" s="226"/>
      <c r="KHX63" s="226"/>
      <c r="KHY63" s="224"/>
      <c r="KHZ63" s="225"/>
      <c r="KIA63" s="226"/>
      <c r="KIB63" s="227"/>
      <c r="KIC63" s="228"/>
      <c r="KID63" s="228"/>
      <c r="KIE63" s="228"/>
      <c r="KIF63" s="228"/>
      <c r="KIG63" s="228"/>
      <c r="KIH63" s="228"/>
      <c r="KII63" s="226"/>
      <c r="KIJ63" s="226"/>
      <c r="KIK63" s="224"/>
      <c r="KIL63" s="225"/>
      <c r="KIM63" s="226"/>
      <c r="KIN63" s="227"/>
      <c r="KIO63" s="228"/>
      <c r="KIP63" s="228"/>
      <c r="KIQ63" s="228"/>
      <c r="KIR63" s="228"/>
      <c r="KIS63" s="228"/>
      <c r="KIT63" s="228"/>
      <c r="KIU63" s="226"/>
      <c r="KIV63" s="226"/>
      <c r="KIW63" s="224"/>
      <c r="KIX63" s="225"/>
      <c r="KIY63" s="226"/>
      <c r="KIZ63" s="227"/>
      <c r="KJA63" s="228"/>
      <c r="KJB63" s="228"/>
      <c r="KJC63" s="228"/>
      <c r="KJD63" s="228"/>
      <c r="KJE63" s="228"/>
      <c r="KJF63" s="228"/>
      <c r="KJG63" s="226"/>
      <c r="KJH63" s="226"/>
      <c r="KJI63" s="224"/>
      <c r="KJJ63" s="225"/>
      <c r="KJK63" s="226"/>
      <c r="KJL63" s="227"/>
      <c r="KJM63" s="228"/>
      <c r="KJN63" s="228"/>
      <c r="KJO63" s="228"/>
      <c r="KJP63" s="228"/>
      <c r="KJQ63" s="228"/>
      <c r="KJR63" s="228"/>
      <c r="KJS63" s="226"/>
      <c r="KJT63" s="226"/>
      <c r="KJU63" s="224"/>
      <c r="KJV63" s="225"/>
      <c r="KJW63" s="226"/>
      <c r="KJX63" s="227"/>
      <c r="KJY63" s="228"/>
      <c r="KJZ63" s="228"/>
      <c r="KKA63" s="228"/>
      <c r="KKB63" s="228"/>
      <c r="KKC63" s="228"/>
      <c r="KKD63" s="228"/>
      <c r="KKE63" s="226"/>
      <c r="KKF63" s="226"/>
      <c r="KKG63" s="224"/>
      <c r="KKH63" s="225"/>
      <c r="KKI63" s="226"/>
      <c r="KKJ63" s="227"/>
      <c r="KKK63" s="228"/>
      <c r="KKL63" s="228"/>
      <c r="KKM63" s="228"/>
      <c r="KKN63" s="228"/>
      <c r="KKO63" s="228"/>
      <c r="KKP63" s="228"/>
      <c r="KKQ63" s="226"/>
      <c r="KKR63" s="226"/>
      <c r="KKS63" s="224"/>
      <c r="KKT63" s="225"/>
      <c r="KKU63" s="226"/>
      <c r="KKV63" s="227"/>
      <c r="KKW63" s="228"/>
      <c r="KKX63" s="228"/>
      <c r="KKY63" s="228"/>
      <c r="KKZ63" s="228"/>
      <c r="KLA63" s="228"/>
      <c r="KLB63" s="228"/>
      <c r="KLC63" s="226"/>
      <c r="KLD63" s="226"/>
      <c r="KLE63" s="224"/>
      <c r="KLF63" s="225"/>
      <c r="KLG63" s="226"/>
      <c r="KLH63" s="227"/>
      <c r="KLI63" s="228"/>
      <c r="KLJ63" s="228"/>
      <c r="KLK63" s="228"/>
      <c r="KLL63" s="228"/>
      <c r="KLM63" s="228"/>
      <c r="KLN63" s="228"/>
      <c r="KLO63" s="226"/>
      <c r="KLP63" s="226"/>
      <c r="KLQ63" s="224"/>
      <c r="KLR63" s="225"/>
      <c r="KLS63" s="226"/>
      <c r="KLT63" s="227"/>
      <c r="KLU63" s="228"/>
      <c r="KLV63" s="228"/>
      <c r="KLW63" s="228"/>
      <c r="KLX63" s="228"/>
      <c r="KLY63" s="228"/>
      <c r="KLZ63" s="228"/>
      <c r="KMA63" s="226"/>
      <c r="KMB63" s="226"/>
      <c r="KMC63" s="224"/>
      <c r="KMD63" s="225"/>
      <c r="KME63" s="226"/>
      <c r="KMF63" s="227"/>
      <c r="KMG63" s="228"/>
      <c r="KMH63" s="228"/>
      <c r="KMI63" s="228"/>
      <c r="KMJ63" s="228"/>
      <c r="KMK63" s="228"/>
      <c r="KML63" s="228"/>
      <c r="KMM63" s="226"/>
      <c r="KMN63" s="226"/>
      <c r="KMO63" s="224"/>
      <c r="KMP63" s="225"/>
      <c r="KMQ63" s="226"/>
      <c r="KMR63" s="227"/>
      <c r="KMS63" s="228"/>
      <c r="KMT63" s="228"/>
      <c r="KMU63" s="228"/>
      <c r="KMV63" s="228"/>
      <c r="KMW63" s="228"/>
      <c r="KMX63" s="228"/>
      <c r="KMY63" s="226"/>
      <c r="KMZ63" s="226"/>
      <c r="KNA63" s="224"/>
      <c r="KNB63" s="225"/>
      <c r="KNC63" s="226"/>
      <c r="KND63" s="227"/>
      <c r="KNE63" s="228"/>
      <c r="KNF63" s="228"/>
      <c r="KNG63" s="228"/>
      <c r="KNH63" s="228"/>
      <c r="KNI63" s="228"/>
      <c r="KNJ63" s="228"/>
      <c r="KNK63" s="226"/>
      <c r="KNL63" s="226"/>
      <c r="KNM63" s="224"/>
      <c r="KNN63" s="225"/>
      <c r="KNO63" s="226"/>
      <c r="KNP63" s="227"/>
      <c r="KNQ63" s="228"/>
      <c r="KNR63" s="228"/>
      <c r="KNS63" s="228"/>
      <c r="KNT63" s="228"/>
      <c r="KNU63" s="228"/>
      <c r="KNV63" s="228"/>
      <c r="KNW63" s="226"/>
      <c r="KNX63" s="226"/>
      <c r="KNY63" s="224"/>
      <c r="KNZ63" s="225"/>
      <c r="KOA63" s="226"/>
      <c r="KOB63" s="227"/>
      <c r="KOC63" s="228"/>
      <c r="KOD63" s="228"/>
      <c r="KOE63" s="228"/>
      <c r="KOF63" s="228"/>
      <c r="KOG63" s="228"/>
      <c r="KOH63" s="228"/>
      <c r="KOI63" s="226"/>
      <c r="KOJ63" s="226"/>
      <c r="KOK63" s="224"/>
      <c r="KOL63" s="225"/>
      <c r="KOM63" s="226"/>
      <c r="KON63" s="227"/>
      <c r="KOO63" s="228"/>
      <c r="KOP63" s="228"/>
      <c r="KOQ63" s="228"/>
      <c r="KOR63" s="228"/>
      <c r="KOS63" s="228"/>
      <c r="KOT63" s="228"/>
      <c r="KOU63" s="226"/>
      <c r="KOV63" s="226"/>
      <c r="KOW63" s="224"/>
      <c r="KOX63" s="225"/>
      <c r="KOY63" s="226"/>
      <c r="KOZ63" s="227"/>
      <c r="KPA63" s="228"/>
      <c r="KPB63" s="228"/>
      <c r="KPC63" s="228"/>
      <c r="KPD63" s="228"/>
      <c r="KPE63" s="228"/>
      <c r="KPF63" s="228"/>
      <c r="KPG63" s="226"/>
      <c r="KPH63" s="226"/>
      <c r="KPI63" s="224"/>
      <c r="KPJ63" s="225"/>
      <c r="KPK63" s="226"/>
      <c r="KPL63" s="227"/>
      <c r="KPM63" s="228"/>
      <c r="KPN63" s="228"/>
      <c r="KPO63" s="228"/>
      <c r="KPP63" s="228"/>
      <c r="KPQ63" s="228"/>
      <c r="KPR63" s="228"/>
      <c r="KPS63" s="226"/>
      <c r="KPT63" s="226"/>
      <c r="KPU63" s="224"/>
      <c r="KPV63" s="225"/>
      <c r="KPW63" s="226"/>
      <c r="KPX63" s="227"/>
      <c r="KPY63" s="228"/>
      <c r="KPZ63" s="228"/>
      <c r="KQA63" s="228"/>
      <c r="KQB63" s="228"/>
      <c r="KQC63" s="228"/>
      <c r="KQD63" s="228"/>
      <c r="KQE63" s="226"/>
      <c r="KQF63" s="226"/>
      <c r="KQG63" s="224"/>
      <c r="KQH63" s="225"/>
      <c r="KQI63" s="226"/>
      <c r="KQJ63" s="227"/>
      <c r="KQK63" s="228"/>
      <c r="KQL63" s="228"/>
      <c r="KQM63" s="228"/>
      <c r="KQN63" s="228"/>
      <c r="KQO63" s="228"/>
      <c r="KQP63" s="228"/>
      <c r="KQQ63" s="226"/>
      <c r="KQR63" s="226"/>
      <c r="KQS63" s="224"/>
      <c r="KQT63" s="225"/>
      <c r="KQU63" s="226"/>
      <c r="KQV63" s="227"/>
      <c r="KQW63" s="228"/>
      <c r="KQX63" s="228"/>
      <c r="KQY63" s="228"/>
      <c r="KQZ63" s="228"/>
      <c r="KRA63" s="228"/>
      <c r="KRB63" s="228"/>
      <c r="KRC63" s="226"/>
      <c r="KRD63" s="226"/>
      <c r="KRE63" s="224"/>
      <c r="KRF63" s="225"/>
      <c r="KRG63" s="226"/>
      <c r="KRH63" s="227"/>
      <c r="KRI63" s="228"/>
      <c r="KRJ63" s="228"/>
      <c r="KRK63" s="228"/>
      <c r="KRL63" s="228"/>
      <c r="KRM63" s="228"/>
      <c r="KRN63" s="228"/>
      <c r="KRO63" s="226"/>
      <c r="KRP63" s="226"/>
      <c r="KRQ63" s="224"/>
      <c r="KRR63" s="225"/>
      <c r="KRS63" s="226"/>
      <c r="KRT63" s="227"/>
      <c r="KRU63" s="228"/>
      <c r="KRV63" s="228"/>
      <c r="KRW63" s="228"/>
      <c r="KRX63" s="228"/>
      <c r="KRY63" s="228"/>
      <c r="KRZ63" s="228"/>
      <c r="KSA63" s="226"/>
      <c r="KSB63" s="226"/>
      <c r="KSC63" s="224"/>
      <c r="KSD63" s="225"/>
      <c r="KSE63" s="226"/>
      <c r="KSF63" s="227"/>
      <c r="KSG63" s="228"/>
      <c r="KSH63" s="228"/>
      <c r="KSI63" s="228"/>
      <c r="KSJ63" s="228"/>
      <c r="KSK63" s="228"/>
      <c r="KSL63" s="228"/>
      <c r="KSM63" s="226"/>
      <c r="KSN63" s="226"/>
      <c r="KSO63" s="224"/>
      <c r="KSP63" s="225"/>
      <c r="KSQ63" s="226"/>
      <c r="KSR63" s="227"/>
      <c r="KSS63" s="228"/>
      <c r="KST63" s="228"/>
      <c r="KSU63" s="228"/>
      <c r="KSV63" s="228"/>
      <c r="KSW63" s="228"/>
      <c r="KSX63" s="228"/>
      <c r="KSY63" s="226"/>
      <c r="KSZ63" s="226"/>
      <c r="KTA63" s="224"/>
      <c r="KTB63" s="225"/>
      <c r="KTC63" s="226"/>
      <c r="KTD63" s="227"/>
      <c r="KTE63" s="228"/>
      <c r="KTF63" s="228"/>
      <c r="KTG63" s="228"/>
      <c r="KTH63" s="228"/>
      <c r="KTI63" s="228"/>
      <c r="KTJ63" s="228"/>
      <c r="KTK63" s="226"/>
      <c r="KTL63" s="226"/>
      <c r="KTM63" s="224"/>
      <c r="KTN63" s="225"/>
      <c r="KTO63" s="226"/>
      <c r="KTP63" s="227"/>
      <c r="KTQ63" s="228"/>
      <c r="KTR63" s="228"/>
      <c r="KTS63" s="228"/>
      <c r="KTT63" s="228"/>
      <c r="KTU63" s="228"/>
      <c r="KTV63" s="228"/>
      <c r="KTW63" s="226"/>
      <c r="KTX63" s="226"/>
      <c r="KTY63" s="224"/>
      <c r="KTZ63" s="225"/>
      <c r="KUA63" s="226"/>
      <c r="KUB63" s="227"/>
      <c r="KUC63" s="228"/>
      <c r="KUD63" s="228"/>
      <c r="KUE63" s="228"/>
      <c r="KUF63" s="228"/>
      <c r="KUG63" s="228"/>
      <c r="KUH63" s="228"/>
      <c r="KUI63" s="226"/>
      <c r="KUJ63" s="226"/>
      <c r="KUK63" s="224"/>
      <c r="KUL63" s="225"/>
      <c r="KUM63" s="226"/>
      <c r="KUN63" s="227"/>
      <c r="KUO63" s="228"/>
      <c r="KUP63" s="228"/>
      <c r="KUQ63" s="228"/>
      <c r="KUR63" s="228"/>
      <c r="KUS63" s="228"/>
      <c r="KUT63" s="228"/>
      <c r="KUU63" s="226"/>
      <c r="KUV63" s="226"/>
      <c r="KUW63" s="224"/>
      <c r="KUX63" s="225"/>
      <c r="KUY63" s="226"/>
      <c r="KUZ63" s="227"/>
      <c r="KVA63" s="228"/>
      <c r="KVB63" s="228"/>
      <c r="KVC63" s="228"/>
      <c r="KVD63" s="228"/>
      <c r="KVE63" s="228"/>
      <c r="KVF63" s="228"/>
      <c r="KVG63" s="226"/>
      <c r="KVH63" s="226"/>
      <c r="KVI63" s="224"/>
      <c r="KVJ63" s="225"/>
      <c r="KVK63" s="226"/>
      <c r="KVL63" s="227"/>
      <c r="KVM63" s="228"/>
      <c r="KVN63" s="228"/>
      <c r="KVO63" s="228"/>
      <c r="KVP63" s="228"/>
      <c r="KVQ63" s="228"/>
      <c r="KVR63" s="228"/>
      <c r="KVS63" s="226"/>
      <c r="KVT63" s="226"/>
      <c r="KVU63" s="224"/>
      <c r="KVV63" s="225"/>
      <c r="KVW63" s="226"/>
      <c r="KVX63" s="227"/>
      <c r="KVY63" s="228"/>
      <c r="KVZ63" s="228"/>
      <c r="KWA63" s="228"/>
      <c r="KWB63" s="228"/>
      <c r="KWC63" s="228"/>
      <c r="KWD63" s="228"/>
      <c r="KWE63" s="226"/>
      <c r="KWF63" s="226"/>
      <c r="KWG63" s="224"/>
      <c r="KWH63" s="225"/>
      <c r="KWI63" s="226"/>
      <c r="KWJ63" s="227"/>
      <c r="KWK63" s="228"/>
      <c r="KWL63" s="228"/>
      <c r="KWM63" s="228"/>
      <c r="KWN63" s="228"/>
      <c r="KWO63" s="228"/>
      <c r="KWP63" s="228"/>
      <c r="KWQ63" s="226"/>
      <c r="KWR63" s="226"/>
      <c r="KWS63" s="224"/>
      <c r="KWT63" s="225"/>
      <c r="KWU63" s="226"/>
      <c r="KWV63" s="227"/>
      <c r="KWW63" s="228"/>
      <c r="KWX63" s="228"/>
      <c r="KWY63" s="228"/>
      <c r="KWZ63" s="228"/>
      <c r="KXA63" s="228"/>
      <c r="KXB63" s="228"/>
      <c r="KXC63" s="226"/>
      <c r="KXD63" s="226"/>
      <c r="KXE63" s="224"/>
      <c r="KXF63" s="225"/>
      <c r="KXG63" s="226"/>
      <c r="KXH63" s="227"/>
      <c r="KXI63" s="228"/>
      <c r="KXJ63" s="228"/>
      <c r="KXK63" s="228"/>
      <c r="KXL63" s="228"/>
      <c r="KXM63" s="228"/>
      <c r="KXN63" s="228"/>
      <c r="KXO63" s="226"/>
      <c r="KXP63" s="226"/>
      <c r="KXQ63" s="224"/>
      <c r="KXR63" s="225"/>
      <c r="KXS63" s="226"/>
      <c r="KXT63" s="227"/>
      <c r="KXU63" s="228"/>
      <c r="KXV63" s="228"/>
      <c r="KXW63" s="228"/>
      <c r="KXX63" s="228"/>
      <c r="KXY63" s="228"/>
      <c r="KXZ63" s="228"/>
      <c r="KYA63" s="226"/>
      <c r="KYB63" s="226"/>
      <c r="KYC63" s="224"/>
      <c r="KYD63" s="225"/>
      <c r="KYE63" s="226"/>
      <c r="KYF63" s="227"/>
      <c r="KYG63" s="228"/>
      <c r="KYH63" s="228"/>
      <c r="KYI63" s="228"/>
      <c r="KYJ63" s="228"/>
      <c r="KYK63" s="228"/>
      <c r="KYL63" s="228"/>
      <c r="KYM63" s="226"/>
      <c r="KYN63" s="226"/>
      <c r="KYO63" s="224"/>
      <c r="KYP63" s="225"/>
      <c r="KYQ63" s="226"/>
      <c r="KYR63" s="227"/>
      <c r="KYS63" s="228"/>
      <c r="KYT63" s="228"/>
      <c r="KYU63" s="228"/>
      <c r="KYV63" s="228"/>
      <c r="KYW63" s="228"/>
      <c r="KYX63" s="228"/>
      <c r="KYY63" s="226"/>
      <c r="KYZ63" s="226"/>
      <c r="KZA63" s="224"/>
      <c r="KZB63" s="225"/>
      <c r="KZC63" s="226"/>
      <c r="KZD63" s="227"/>
      <c r="KZE63" s="228"/>
      <c r="KZF63" s="228"/>
      <c r="KZG63" s="228"/>
      <c r="KZH63" s="228"/>
      <c r="KZI63" s="228"/>
      <c r="KZJ63" s="228"/>
      <c r="KZK63" s="226"/>
      <c r="KZL63" s="226"/>
      <c r="KZM63" s="224"/>
      <c r="KZN63" s="225"/>
      <c r="KZO63" s="226"/>
      <c r="KZP63" s="227"/>
      <c r="KZQ63" s="228"/>
      <c r="KZR63" s="228"/>
      <c r="KZS63" s="228"/>
      <c r="KZT63" s="228"/>
      <c r="KZU63" s="228"/>
      <c r="KZV63" s="228"/>
      <c r="KZW63" s="226"/>
      <c r="KZX63" s="226"/>
      <c r="KZY63" s="224"/>
      <c r="KZZ63" s="225"/>
      <c r="LAA63" s="226"/>
      <c r="LAB63" s="227"/>
      <c r="LAC63" s="228"/>
      <c r="LAD63" s="228"/>
      <c r="LAE63" s="228"/>
      <c r="LAF63" s="228"/>
      <c r="LAG63" s="228"/>
      <c r="LAH63" s="228"/>
      <c r="LAI63" s="226"/>
      <c r="LAJ63" s="226"/>
      <c r="LAK63" s="224"/>
      <c r="LAL63" s="225"/>
      <c r="LAM63" s="226"/>
      <c r="LAN63" s="227"/>
      <c r="LAO63" s="228"/>
      <c r="LAP63" s="228"/>
      <c r="LAQ63" s="228"/>
      <c r="LAR63" s="228"/>
      <c r="LAS63" s="228"/>
      <c r="LAT63" s="228"/>
      <c r="LAU63" s="226"/>
      <c r="LAV63" s="226"/>
      <c r="LAW63" s="224"/>
      <c r="LAX63" s="225"/>
      <c r="LAY63" s="226"/>
      <c r="LAZ63" s="227"/>
      <c r="LBA63" s="228"/>
      <c r="LBB63" s="228"/>
      <c r="LBC63" s="228"/>
      <c r="LBD63" s="228"/>
      <c r="LBE63" s="228"/>
      <c r="LBF63" s="228"/>
      <c r="LBG63" s="226"/>
      <c r="LBH63" s="226"/>
      <c r="LBI63" s="224"/>
      <c r="LBJ63" s="225"/>
      <c r="LBK63" s="226"/>
      <c r="LBL63" s="227"/>
      <c r="LBM63" s="228"/>
      <c r="LBN63" s="228"/>
      <c r="LBO63" s="228"/>
      <c r="LBP63" s="228"/>
      <c r="LBQ63" s="228"/>
      <c r="LBR63" s="228"/>
      <c r="LBS63" s="226"/>
      <c r="LBT63" s="226"/>
      <c r="LBU63" s="224"/>
      <c r="LBV63" s="225"/>
      <c r="LBW63" s="226"/>
      <c r="LBX63" s="227"/>
      <c r="LBY63" s="228"/>
      <c r="LBZ63" s="228"/>
      <c r="LCA63" s="228"/>
      <c r="LCB63" s="228"/>
      <c r="LCC63" s="228"/>
      <c r="LCD63" s="228"/>
      <c r="LCE63" s="226"/>
      <c r="LCF63" s="226"/>
      <c r="LCG63" s="224"/>
      <c r="LCH63" s="225"/>
      <c r="LCI63" s="226"/>
      <c r="LCJ63" s="227"/>
      <c r="LCK63" s="228"/>
      <c r="LCL63" s="228"/>
      <c r="LCM63" s="228"/>
      <c r="LCN63" s="228"/>
      <c r="LCO63" s="228"/>
      <c r="LCP63" s="228"/>
      <c r="LCQ63" s="226"/>
      <c r="LCR63" s="226"/>
      <c r="LCS63" s="224"/>
      <c r="LCT63" s="225"/>
      <c r="LCU63" s="226"/>
      <c r="LCV63" s="227"/>
      <c r="LCW63" s="228"/>
      <c r="LCX63" s="228"/>
      <c r="LCY63" s="228"/>
      <c r="LCZ63" s="228"/>
      <c r="LDA63" s="228"/>
      <c r="LDB63" s="228"/>
      <c r="LDC63" s="226"/>
      <c r="LDD63" s="226"/>
      <c r="LDE63" s="224"/>
      <c r="LDF63" s="225"/>
      <c r="LDG63" s="226"/>
      <c r="LDH63" s="227"/>
      <c r="LDI63" s="228"/>
      <c r="LDJ63" s="228"/>
      <c r="LDK63" s="228"/>
      <c r="LDL63" s="228"/>
      <c r="LDM63" s="228"/>
      <c r="LDN63" s="228"/>
      <c r="LDO63" s="226"/>
      <c r="LDP63" s="226"/>
      <c r="LDQ63" s="224"/>
      <c r="LDR63" s="225"/>
      <c r="LDS63" s="226"/>
      <c r="LDT63" s="227"/>
      <c r="LDU63" s="228"/>
      <c r="LDV63" s="228"/>
      <c r="LDW63" s="228"/>
      <c r="LDX63" s="228"/>
      <c r="LDY63" s="228"/>
      <c r="LDZ63" s="228"/>
      <c r="LEA63" s="226"/>
      <c r="LEB63" s="226"/>
      <c r="LEC63" s="224"/>
      <c r="LED63" s="225"/>
      <c r="LEE63" s="226"/>
      <c r="LEF63" s="227"/>
      <c r="LEG63" s="228"/>
      <c r="LEH63" s="228"/>
      <c r="LEI63" s="228"/>
      <c r="LEJ63" s="228"/>
      <c r="LEK63" s="228"/>
      <c r="LEL63" s="228"/>
      <c r="LEM63" s="226"/>
      <c r="LEN63" s="226"/>
      <c r="LEO63" s="224"/>
      <c r="LEP63" s="225"/>
      <c r="LEQ63" s="226"/>
      <c r="LER63" s="227"/>
      <c r="LES63" s="228"/>
      <c r="LET63" s="228"/>
      <c r="LEU63" s="228"/>
      <c r="LEV63" s="228"/>
      <c r="LEW63" s="228"/>
      <c r="LEX63" s="228"/>
      <c r="LEY63" s="226"/>
      <c r="LEZ63" s="226"/>
      <c r="LFA63" s="224"/>
      <c r="LFB63" s="225"/>
      <c r="LFC63" s="226"/>
      <c r="LFD63" s="227"/>
      <c r="LFE63" s="228"/>
      <c r="LFF63" s="228"/>
      <c r="LFG63" s="228"/>
      <c r="LFH63" s="228"/>
      <c r="LFI63" s="228"/>
      <c r="LFJ63" s="228"/>
      <c r="LFK63" s="226"/>
      <c r="LFL63" s="226"/>
      <c r="LFM63" s="224"/>
      <c r="LFN63" s="225"/>
      <c r="LFO63" s="226"/>
      <c r="LFP63" s="227"/>
      <c r="LFQ63" s="228"/>
      <c r="LFR63" s="228"/>
      <c r="LFS63" s="228"/>
      <c r="LFT63" s="228"/>
      <c r="LFU63" s="228"/>
      <c r="LFV63" s="228"/>
      <c r="LFW63" s="226"/>
      <c r="LFX63" s="226"/>
      <c r="LFY63" s="224"/>
      <c r="LFZ63" s="225"/>
      <c r="LGA63" s="226"/>
      <c r="LGB63" s="227"/>
      <c r="LGC63" s="228"/>
      <c r="LGD63" s="228"/>
      <c r="LGE63" s="228"/>
      <c r="LGF63" s="228"/>
      <c r="LGG63" s="228"/>
      <c r="LGH63" s="228"/>
      <c r="LGI63" s="226"/>
      <c r="LGJ63" s="226"/>
      <c r="LGK63" s="224"/>
      <c r="LGL63" s="225"/>
      <c r="LGM63" s="226"/>
      <c r="LGN63" s="227"/>
      <c r="LGO63" s="228"/>
      <c r="LGP63" s="228"/>
      <c r="LGQ63" s="228"/>
      <c r="LGR63" s="228"/>
      <c r="LGS63" s="228"/>
      <c r="LGT63" s="228"/>
      <c r="LGU63" s="226"/>
      <c r="LGV63" s="226"/>
      <c r="LGW63" s="224"/>
      <c r="LGX63" s="225"/>
      <c r="LGY63" s="226"/>
      <c r="LGZ63" s="227"/>
      <c r="LHA63" s="228"/>
      <c r="LHB63" s="228"/>
      <c r="LHC63" s="228"/>
      <c r="LHD63" s="228"/>
      <c r="LHE63" s="228"/>
      <c r="LHF63" s="228"/>
      <c r="LHG63" s="226"/>
      <c r="LHH63" s="226"/>
      <c r="LHI63" s="224"/>
      <c r="LHJ63" s="225"/>
      <c r="LHK63" s="226"/>
      <c r="LHL63" s="227"/>
      <c r="LHM63" s="228"/>
      <c r="LHN63" s="228"/>
      <c r="LHO63" s="228"/>
      <c r="LHP63" s="228"/>
      <c r="LHQ63" s="228"/>
      <c r="LHR63" s="228"/>
      <c r="LHS63" s="226"/>
      <c r="LHT63" s="226"/>
      <c r="LHU63" s="224"/>
      <c r="LHV63" s="225"/>
      <c r="LHW63" s="226"/>
      <c r="LHX63" s="227"/>
      <c r="LHY63" s="228"/>
      <c r="LHZ63" s="228"/>
      <c r="LIA63" s="228"/>
      <c r="LIB63" s="228"/>
      <c r="LIC63" s="228"/>
      <c r="LID63" s="228"/>
      <c r="LIE63" s="226"/>
      <c r="LIF63" s="226"/>
      <c r="LIG63" s="224"/>
      <c r="LIH63" s="225"/>
      <c r="LII63" s="226"/>
      <c r="LIJ63" s="227"/>
      <c r="LIK63" s="228"/>
      <c r="LIL63" s="228"/>
      <c r="LIM63" s="228"/>
      <c r="LIN63" s="228"/>
      <c r="LIO63" s="228"/>
      <c r="LIP63" s="228"/>
      <c r="LIQ63" s="226"/>
      <c r="LIR63" s="226"/>
      <c r="LIS63" s="224"/>
      <c r="LIT63" s="225"/>
      <c r="LIU63" s="226"/>
      <c r="LIV63" s="227"/>
      <c r="LIW63" s="228"/>
      <c r="LIX63" s="228"/>
      <c r="LIY63" s="228"/>
      <c r="LIZ63" s="228"/>
      <c r="LJA63" s="228"/>
      <c r="LJB63" s="228"/>
      <c r="LJC63" s="226"/>
      <c r="LJD63" s="226"/>
      <c r="LJE63" s="224"/>
      <c r="LJF63" s="225"/>
      <c r="LJG63" s="226"/>
      <c r="LJH63" s="227"/>
      <c r="LJI63" s="228"/>
      <c r="LJJ63" s="228"/>
      <c r="LJK63" s="228"/>
      <c r="LJL63" s="228"/>
      <c r="LJM63" s="228"/>
      <c r="LJN63" s="228"/>
      <c r="LJO63" s="226"/>
      <c r="LJP63" s="226"/>
      <c r="LJQ63" s="224"/>
      <c r="LJR63" s="225"/>
      <c r="LJS63" s="226"/>
      <c r="LJT63" s="227"/>
      <c r="LJU63" s="228"/>
      <c r="LJV63" s="228"/>
      <c r="LJW63" s="228"/>
      <c r="LJX63" s="228"/>
      <c r="LJY63" s="228"/>
      <c r="LJZ63" s="228"/>
      <c r="LKA63" s="226"/>
      <c r="LKB63" s="226"/>
      <c r="LKC63" s="224"/>
      <c r="LKD63" s="225"/>
      <c r="LKE63" s="226"/>
      <c r="LKF63" s="227"/>
      <c r="LKG63" s="228"/>
      <c r="LKH63" s="228"/>
      <c r="LKI63" s="228"/>
      <c r="LKJ63" s="228"/>
      <c r="LKK63" s="228"/>
      <c r="LKL63" s="228"/>
      <c r="LKM63" s="226"/>
      <c r="LKN63" s="226"/>
      <c r="LKO63" s="224"/>
      <c r="LKP63" s="225"/>
      <c r="LKQ63" s="226"/>
      <c r="LKR63" s="227"/>
      <c r="LKS63" s="228"/>
      <c r="LKT63" s="228"/>
      <c r="LKU63" s="228"/>
      <c r="LKV63" s="228"/>
      <c r="LKW63" s="228"/>
      <c r="LKX63" s="228"/>
      <c r="LKY63" s="226"/>
      <c r="LKZ63" s="226"/>
      <c r="LLA63" s="224"/>
      <c r="LLB63" s="225"/>
      <c r="LLC63" s="226"/>
      <c r="LLD63" s="227"/>
      <c r="LLE63" s="228"/>
      <c r="LLF63" s="228"/>
      <c r="LLG63" s="228"/>
      <c r="LLH63" s="228"/>
      <c r="LLI63" s="228"/>
      <c r="LLJ63" s="228"/>
      <c r="LLK63" s="226"/>
      <c r="LLL63" s="226"/>
      <c r="LLM63" s="224"/>
      <c r="LLN63" s="225"/>
      <c r="LLO63" s="226"/>
      <c r="LLP63" s="227"/>
      <c r="LLQ63" s="228"/>
      <c r="LLR63" s="228"/>
      <c r="LLS63" s="228"/>
      <c r="LLT63" s="228"/>
      <c r="LLU63" s="228"/>
      <c r="LLV63" s="228"/>
      <c r="LLW63" s="226"/>
      <c r="LLX63" s="226"/>
      <c r="LLY63" s="224"/>
      <c r="LLZ63" s="225"/>
      <c r="LMA63" s="226"/>
      <c r="LMB63" s="227"/>
      <c r="LMC63" s="228"/>
      <c r="LMD63" s="228"/>
      <c r="LME63" s="228"/>
      <c r="LMF63" s="228"/>
      <c r="LMG63" s="228"/>
      <c r="LMH63" s="228"/>
      <c r="LMI63" s="226"/>
      <c r="LMJ63" s="226"/>
      <c r="LMK63" s="224"/>
      <c r="LML63" s="225"/>
      <c r="LMM63" s="226"/>
      <c r="LMN63" s="227"/>
      <c r="LMO63" s="228"/>
      <c r="LMP63" s="228"/>
      <c r="LMQ63" s="228"/>
      <c r="LMR63" s="228"/>
      <c r="LMS63" s="228"/>
      <c r="LMT63" s="228"/>
      <c r="LMU63" s="226"/>
      <c r="LMV63" s="226"/>
      <c r="LMW63" s="224"/>
      <c r="LMX63" s="225"/>
      <c r="LMY63" s="226"/>
      <c r="LMZ63" s="227"/>
      <c r="LNA63" s="228"/>
      <c r="LNB63" s="228"/>
      <c r="LNC63" s="228"/>
      <c r="LND63" s="228"/>
      <c r="LNE63" s="228"/>
      <c r="LNF63" s="228"/>
      <c r="LNG63" s="226"/>
      <c r="LNH63" s="226"/>
      <c r="LNI63" s="224"/>
      <c r="LNJ63" s="225"/>
      <c r="LNK63" s="226"/>
      <c r="LNL63" s="227"/>
      <c r="LNM63" s="228"/>
      <c r="LNN63" s="228"/>
      <c r="LNO63" s="228"/>
      <c r="LNP63" s="228"/>
      <c r="LNQ63" s="228"/>
      <c r="LNR63" s="228"/>
      <c r="LNS63" s="226"/>
      <c r="LNT63" s="226"/>
      <c r="LNU63" s="224"/>
      <c r="LNV63" s="225"/>
      <c r="LNW63" s="226"/>
      <c r="LNX63" s="227"/>
      <c r="LNY63" s="228"/>
      <c r="LNZ63" s="228"/>
      <c r="LOA63" s="228"/>
      <c r="LOB63" s="228"/>
      <c r="LOC63" s="228"/>
      <c r="LOD63" s="228"/>
      <c r="LOE63" s="226"/>
      <c r="LOF63" s="226"/>
      <c r="LOG63" s="224"/>
      <c r="LOH63" s="225"/>
      <c r="LOI63" s="226"/>
      <c r="LOJ63" s="227"/>
      <c r="LOK63" s="228"/>
      <c r="LOL63" s="228"/>
      <c r="LOM63" s="228"/>
      <c r="LON63" s="228"/>
      <c r="LOO63" s="228"/>
      <c r="LOP63" s="228"/>
      <c r="LOQ63" s="226"/>
      <c r="LOR63" s="226"/>
      <c r="LOS63" s="224"/>
      <c r="LOT63" s="225"/>
      <c r="LOU63" s="226"/>
      <c r="LOV63" s="227"/>
      <c r="LOW63" s="228"/>
      <c r="LOX63" s="228"/>
      <c r="LOY63" s="228"/>
      <c r="LOZ63" s="228"/>
      <c r="LPA63" s="228"/>
      <c r="LPB63" s="228"/>
      <c r="LPC63" s="226"/>
      <c r="LPD63" s="226"/>
      <c r="LPE63" s="224"/>
      <c r="LPF63" s="225"/>
      <c r="LPG63" s="226"/>
      <c r="LPH63" s="227"/>
      <c r="LPI63" s="228"/>
      <c r="LPJ63" s="228"/>
      <c r="LPK63" s="228"/>
      <c r="LPL63" s="228"/>
      <c r="LPM63" s="228"/>
      <c r="LPN63" s="228"/>
      <c r="LPO63" s="226"/>
      <c r="LPP63" s="226"/>
      <c r="LPQ63" s="224"/>
      <c r="LPR63" s="225"/>
      <c r="LPS63" s="226"/>
      <c r="LPT63" s="227"/>
      <c r="LPU63" s="228"/>
      <c r="LPV63" s="228"/>
      <c r="LPW63" s="228"/>
      <c r="LPX63" s="228"/>
      <c r="LPY63" s="228"/>
      <c r="LPZ63" s="228"/>
      <c r="LQA63" s="226"/>
      <c r="LQB63" s="226"/>
      <c r="LQC63" s="224"/>
      <c r="LQD63" s="225"/>
      <c r="LQE63" s="226"/>
      <c r="LQF63" s="227"/>
      <c r="LQG63" s="228"/>
      <c r="LQH63" s="228"/>
      <c r="LQI63" s="228"/>
      <c r="LQJ63" s="228"/>
      <c r="LQK63" s="228"/>
      <c r="LQL63" s="228"/>
      <c r="LQM63" s="226"/>
      <c r="LQN63" s="226"/>
      <c r="LQO63" s="224"/>
      <c r="LQP63" s="225"/>
      <c r="LQQ63" s="226"/>
      <c r="LQR63" s="227"/>
      <c r="LQS63" s="228"/>
      <c r="LQT63" s="228"/>
      <c r="LQU63" s="228"/>
      <c r="LQV63" s="228"/>
      <c r="LQW63" s="228"/>
      <c r="LQX63" s="228"/>
      <c r="LQY63" s="226"/>
      <c r="LQZ63" s="226"/>
      <c r="LRA63" s="224"/>
      <c r="LRB63" s="225"/>
      <c r="LRC63" s="226"/>
      <c r="LRD63" s="227"/>
      <c r="LRE63" s="228"/>
      <c r="LRF63" s="228"/>
      <c r="LRG63" s="228"/>
      <c r="LRH63" s="228"/>
      <c r="LRI63" s="228"/>
      <c r="LRJ63" s="228"/>
      <c r="LRK63" s="226"/>
      <c r="LRL63" s="226"/>
      <c r="LRM63" s="224"/>
      <c r="LRN63" s="225"/>
      <c r="LRO63" s="226"/>
      <c r="LRP63" s="227"/>
      <c r="LRQ63" s="228"/>
      <c r="LRR63" s="228"/>
      <c r="LRS63" s="228"/>
      <c r="LRT63" s="228"/>
      <c r="LRU63" s="228"/>
      <c r="LRV63" s="228"/>
      <c r="LRW63" s="226"/>
      <c r="LRX63" s="226"/>
      <c r="LRY63" s="224"/>
      <c r="LRZ63" s="225"/>
      <c r="LSA63" s="226"/>
      <c r="LSB63" s="227"/>
      <c r="LSC63" s="228"/>
      <c r="LSD63" s="228"/>
      <c r="LSE63" s="228"/>
      <c r="LSF63" s="228"/>
      <c r="LSG63" s="228"/>
      <c r="LSH63" s="228"/>
      <c r="LSI63" s="226"/>
      <c r="LSJ63" s="226"/>
      <c r="LSK63" s="224"/>
      <c r="LSL63" s="225"/>
      <c r="LSM63" s="226"/>
      <c r="LSN63" s="227"/>
      <c r="LSO63" s="228"/>
      <c r="LSP63" s="228"/>
      <c r="LSQ63" s="228"/>
      <c r="LSR63" s="228"/>
      <c r="LSS63" s="228"/>
      <c r="LST63" s="228"/>
      <c r="LSU63" s="226"/>
      <c r="LSV63" s="226"/>
      <c r="LSW63" s="224"/>
      <c r="LSX63" s="225"/>
      <c r="LSY63" s="226"/>
      <c r="LSZ63" s="227"/>
      <c r="LTA63" s="228"/>
      <c r="LTB63" s="228"/>
      <c r="LTC63" s="228"/>
      <c r="LTD63" s="228"/>
      <c r="LTE63" s="228"/>
      <c r="LTF63" s="228"/>
      <c r="LTG63" s="226"/>
      <c r="LTH63" s="226"/>
      <c r="LTI63" s="224"/>
      <c r="LTJ63" s="225"/>
      <c r="LTK63" s="226"/>
      <c r="LTL63" s="227"/>
      <c r="LTM63" s="228"/>
      <c r="LTN63" s="228"/>
      <c r="LTO63" s="228"/>
      <c r="LTP63" s="228"/>
      <c r="LTQ63" s="228"/>
      <c r="LTR63" s="228"/>
      <c r="LTS63" s="226"/>
      <c r="LTT63" s="226"/>
      <c r="LTU63" s="224"/>
      <c r="LTV63" s="225"/>
      <c r="LTW63" s="226"/>
      <c r="LTX63" s="227"/>
      <c r="LTY63" s="228"/>
      <c r="LTZ63" s="228"/>
      <c r="LUA63" s="228"/>
      <c r="LUB63" s="228"/>
      <c r="LUC63" s="228"/>
      <c r="LUD63" s="228"/>
      <c r="LUE63" s="226"/>
      <c r="LUF63" s="226"/>
      <c r="LUG63" s="224"/>
      <c r="LUH63" s="225"/>
      <c r="LUI63" s="226"/>
      <c r="LUJ63" s="227"/>
      <c r="LUK63" s="228"/>
      <c r="LUL63" s="228"/>
      <c r="LUM63" s="228"/>
      <c r="LUN63" s="228"/>
      <c r="LUO63" s="228"/>
      <c r="LUP63" s="228"/>
      <c r="LUQ63" s="226"/>
      <c r="LUR63" s="226"/>
      <c r="LUS63" s="224"/>
      <c r="LUT63" s="225"/>
      <c r="LUU63" s="226"/>
      <c r="LUV63" s="227"/>
      <c r="LUW63" s="228"/>
      <c r="LUX63" s="228"/>
      <c r="LUY63" s="228"/>
      <c r="LUZ63" s="228"/>
      <c r="LVA63" s="228"/>
      <c r="LVB63" s="228"/>
      <c r="LVC63" s="226"/>
      <c r="LVD63" s="226"/>
      <c r="LVE63" s="224"/>
      <c r="LVF63" s="225"/>
      <c r="LVG63" s="226"/>
      <c r="LVH63" s="227"/>
      <c r="LVI63" s="228"/>
      <c r="LVJ63" s="228"/>
      <c r="LVK63" s="228"/>
      <c r="LVL63" s="228"/>
      <c r="LVM63" s="228"/>
      <c r="LVN63" s="228"/>
      <c r="LVO63" s="226"/>
      <c r="LVP63" s="226"/>
      <c r="LVQ63" s="224"/>
      <c r="LVR63" s="225"/>
      <c r="LVS63" s="226"/>
      <c r="LVT63" s="227"/>
      <c r="LVU63" s="228"/>
      <c r="LVV63" s="228"/>
      <c r="LVW63" s="228"/>
      <c r="LVX63" s="228"/>
      <c r="LVY63" s="228"/>
      <c r="LVZ63" s="228"/>
      <c r="LWA63" s="226"/>
      <c r="LWB63" s="226"/>
      <c r="LWC63" s="224"/>
      <c r="LWD63" s="225"/>
      <c r="LWE63" s="226"/>
      <c r="LWF63" s="227"/>
      <c r="LWG63" s="228"/>
      <c r="LWH63" s="228"/>
      <c r="LWI63" s="228"/>
      <c r="LWJ63" s="228"/>
      <c r="LWK63" s="228"/>
      <c r="LWL63" s="228"/>
      <c r="LWM63" s="226"/>
      <c r="LWN63" s="226"/>
      <c r="LWO63" s="224"/>
      <c r="LWP63" s="225"/>
      <c r="LWQ63" s="226"/>
      <c r="LWR63" s="227"/>
      <c r="LWS63" s="228"/>
      <c r="LWT63" s="228"/>
      <c r="LWU63" s="228"/>
      <c r="LWV63" s="228"/>
      <c r="LWW63" s="228"/>
      <c r="LWX63" s="228"/>
      <c r="LWY63" s="226"/>
      <c r="LWZ63" s="226"/>
      <c r="LXA63" s="224"/>
      <c r="LXB63" s="225"/>
      <c r="LXC63" s="226"/>
      <c r="LXD63" s="227"/>
      <c r="LXE63" s="228"/>
      <c r="LXF63" s="228"/>
      <c r="LXG63" s="228"/>
      <c r="LXH63" s="228"/>
      <c r="LXI63" s="228"/>
      <c r="LXJ63" s="228"/>
      <c r="LXK63" s="226"/>
      <c r="LXL63" s="226"/>
      <c r="LXM63" s="224"/>
      <c r="LXN63" s="225"/>
      <c r="LXO63" s="226"/>
      <c r="LXP63" s="227"/>
      <c r="LXQ63" s="228"/>
      <c r="LXR63" s="228"/>
      <c r="LXS63" s="228"/>
      <c r="LXT63" s="228"/>
      <c r="LXU63" s="228"/>
      <c r="LXV63" s="228"/>
      <c r="LXW63" s="226"/>
      <c r="LXX63" s="226"/>
      <c r="LXY63" s="224"/>
      <c r="LXZ63" s="225"/>
      <c r="LYA63" s="226"/>
      <c r="LYB63" s="227"/>
      <c r="LYC63" s="228"/>
      <c r="LYD63" s="228"/>
      <c r="LYE63" s="228"/>
      <c r="LYF63" s="228"/>
      <c r="LYG63" s="228"/>
      <c r="LYH63" s="228"/>
      <c r="LYI63" s="226"/>
      <c r="LYJ63" s="226"/>
      <c r="LYK63" s="224"/>
      <c r="LYL63" s="225"/>
      <c r="LYM63" s="226"/>
      <c r="LYN63" s="227"/>
      <c r="LYO63" s="228"/>
      <c r="LYP63" s="228"/>
      <c r="LYQ63" s="228"/>
      <c r="LYR63" s="228"/>
      <c r="LYS63" s="228"/>
      <c r="LYT63" s="228"/>
      <c r="LYU63" s="226"/>
      <c r="LYV63" s="226"/>
      <c r="LYW63" s="224"/>
      <c r="LYX63" s="225"/>
      <c r="LYY63" s="226"/>
      <c r="LYZ63" s="227"/>
      <c r="LZA63" s="228"/>
      <c r="LZB63" s="228"/>
      <c r="LZC63" s="228"/>
      <c r="LZD63" s="228"/>
      <c r="LZE63" s="228"/>
      <c r="LZF63" s="228"/>
      <c r="LZG63" s="226"/>
      <c r="LZH63" s="226"/>
      <c r="LZI63" s="224"/>
      <c r="LZJ63" s="225"/>
      <c r="LZK63" s="226"/>
      <c r="LZL63" s="227"/>
      <c r="LZM63" s="228"/>
      <c r="LZN63" s="228"/>
      <c r="LZO63" s="228"/>
      <c r="LZP63" s="228"/>
      <c r="LZQ63" s="228"/>
      <c r="LZR63" s="228"/>
      <c r="LZS63" s="226"/>
      <c r="LZT63" s="226"/>
      <c r="LZU63" s="224"/>
      <c r="LZV63" s="225"/>
      <c r="LZW63" s="226"/>
      <c r="LZX63" s="227"/>
      <c r="LZY63" s="228"/>
      <c r="LZZ63" s="228"/>
      <c r="MAA63" s="228"/>
      <c r="MAB63" s="228"/>
      <c r="MAC63" s="228"/>
      <c r="MAD63" s="228"/>
      <c r="MAE63" s="226"/>
      <c r="MAF63" s="226"/>
      <c r="MAG63" s="224"/>
      <c r="MAH63" s="225"/>
      <c r="MAI63" s="226"/>
      <c r="MAJ63" s="227"/>
      <c r="MAK63" s="228"/>
      <c r="MAL63" s="228"/>
      <c r="MAM63" s="228"/>
      <c r="MAN63" s="228"/>
      <c r="MAO63" s="228"/>
      <c r="MAP63" s="228"/>
      <c r="MAQ63" s="226"/>
      <c r="MAR63" s="226"/>
      <c r="MAS63" s="224"/>
      <c r="MAT63" s="225"/>
      <c r="MAU63" s="226"/>
      <c r="MAV63" s="227"/>
      <c r="MAW63" s="228"/>
      <c r="MAX63" s="228"/>
      <c r="MAY63" s="228"/>
      <c r="MAZ63" s="228"/>
      <c r="MBA63" s="228"/>
      <c r="MBB63" s="228"/>
      <c r="MBC63" s="226"/>
      <c r="MBD63" s="226"/>
      <c r="MBE63" s="224"/>
      <c r="MBF63" s="225"/>
      <c r="MBG63" s="226"/>
      <c r="MBH63" s="227"/>
      <c r="MBI63" s="228"/>
      <c r="MBJ63" s="228"/>
      <c r="MBK63" s="228"/>
      <c r="MBL63" s="228"/>
      <c r="MBM63" s="228"/>
      <c r="MBN63" s="228"/>
      <c r="MBO63" s="226"/>
      <c r="MBP63" s="226"/>
      <c r="MBQ63" s="224"/>
      <c r="MBR63" s="225"/>
      <c r="MBS63" s="226"/>
      <c r="MBT63" s="227"/>
      <c r="MBU63" s="228"/>
      <c r="MBV63" s="228"/>
      <c r="MBW63" s="228"/>
      <c r="MBX63" s="228"/>
      <c r="MBY63" s="228"/>
      <c r="MBZ63" s="228"/>
      <c r="MCA63" s="226"/>
      <c r="MCB63" s="226"/>
      <c r="MCC63" s="224"/>
      <c r="MCD63" s="225"/>
      <c r="MCE63" s="226"/>
      <c r="MCF63" s="227"/>
      <c r="MCG63" s="228"/>
      <c r="MCH63" s="228"/>
      <c r="MCI63" s="228"/>
      <c r="MCJ63" s="228"/>
      <c r="MCK63" s="228"/>
      <c r="MCL63" s="228"/>
      <c r="MCM63" s="226"/>
      <c r="MCN63" s="226"/>
      <c r="MCO63" s="224"/>
      <c r="MCP63" s="225"/>
      <c r="MCQ63" s="226"/>
      <c r="MCR63" s="227"/>
      <c r="MCS63" s="228"/>
      <c r="MCT63" s="228"/>
      <c r="MCU63" s="228"/>
      <c r="MCV63" s="228"/>
      <c r="MCW63" s="228"/>
      <c r="MCX63" s="228"/>
      <c r="MCY63" s="226"/>
      <c r="MCZ63" s="226"/>
      <c r="MDA63" s="224"/>
      <c r="MDB63" s="225"/>
      <c r="MDC63" s="226"/>
      <c r="MDD63" s="227"/>
      <c r="MDE63" s="228"/>
      <c r="MDF63" s="228"/>
      <c r="MDG63" s="228"/>
      <c r="MDH63" s="228"/>
      <c r="MDI63" s="228"/>
      <c r="MDJ63" s="228"/>
      <c r="MDK63" s="226"/>
      <c r="MDL63" s="226"/>
      <c r="MDM63" s="224"/>
      <c r="MDN63" s="225"/>
      <c r="MDO63" s="226"/>
      <c r="MDP63" s="227"/>
      <c r="MDQ63" s="228"/>
      <c r="MDR63" s="228"/>
      <c r="MDS63" s="228"/>
      <c r="MDT63" s="228"/>
      <c r="MDU63" s="228"/>
      <c r="MDV63" s="228"/>
      <c r="MDW63" s="226"/>
      <c r="MDX63" s="226"/>
      <c r="MDY63" s="224"/>
      <c r="MDZ63" s="225"/>
      <c r="MEA63" s="226"/>
      <c r="MEB63" s="227"/>
      <c r="MEC63" s="228"/>
      <c r="MED63" s="228"/>
      <c r="MEE63" s="228"/>
      <c r="MEF63" s="228"/>
      <c r="MEG63" s="228"/>
      <c r="MEH63" s="228"/>
      <c r="MEI63" s="226"/>
      <c r="MEJ63" s="226"/>
      <c r="MEK63" s="224"/>
      <c r="MEL63" s="225"/>
      <c r="MEM63" s="226"/>
      <c r="MEN63" s="227"/>
      <c r="MEO63" s="228"/>
      <c r="MEP63" s="228"/>
      <c r="MEQ63" s="228"/>
      <c r="MER63" s="228"/>
      <c r="MES63" s="228"/>
      <c r="MET63" s="228"/>
      <c r="MEU63" s="226"/>
      <c r="MEV63" s="226"/>
      <c r="MEW63" s="224"/>
      <c r="MEX63" s="225"/>
      <c r="MEY63" s="226"/>
      <c r="MEZ63" s="227"/>
      <c r="MFA63" s="228"/>
      <c r="MFB63" s="228"/>
      <c r="MFC63" s="228"/>
      <c r="MFD63" s="228"/>
      <c r="MFE63" s="228"/>
      <c r="MFF63" s="228"/>
      <c r="MFG63" s="226"/>
      <c r="MFH63" s="226"/>
      <c r="MFI63" s="224"/>
      <c r="MFJ63" s="225"/>
      <c r="MFK63" s="226"/>
      <c r="MFL63" s="227"/>
      <c r="MFM63" s="228"/>
      <c r="MFN63" s="228"/>
      <c r="MFO63" s="228"/>
      <c r="MFP63" s="228"/>
      <c r="MFQ63" s="228"/>
      <c r="MFR63" s="228"/>
      <c r="MFS63" s="226"/>
      <c r="MFT63" s="226"/>
      <c r="MFU63" s="224"/>
      <c r="MFV63" s="225"/>
      <c r="MFW63" s="226"/>
      <c r="MFX63" s="227"/>
      <c r="MFY63" s="228"/>
      <c r="MFZ63" s="228"/>
      <c r="MGA63" s="228"/>
      <c r="MGB63" s="228"/>
      <c r="MGC63" s="228"/>
      <c r="MGD63" s="228"/>
      <c r="MGE63" s="226"/>
      <c r="MGF63" s="226"/>
      <c r="MGG63" s="224"/>
      <c r="MGH63" s="225"/>
      <c r="MGI63" s="226"/>
      <c r="MGJ63" s="227"/>
      <c r="MGK63" s="228"/>
      <c r="MGL63" s="228"/>
      <c r="MGM63" s="228"/>
      <c r="MGN63" s="228"/>
      <c r="MGO63" s="228"/>
      <c r="MGP63" s="228"/>
      <c r="MGQ63" s="226"/>
      <c r="MGR63" s="226"/>
      <c r="MGS63" s="224"/>
      <c r="MGT63" s="225"/>
      <c r="MGU63" s="226"/>
      <c r="MGV63" s="227"/>
      <c r="MGW63" s="228"/>
      <c r="MGX63" s="228"/>
      <c r="MGY63" s="228"/>
      <c r="MGZ63" s="228"/>
      <c r="MHA63" s="228"/>
      <c r="MHB63" s="228"/>
      <c r="MHC63" s="226"/>
      <c r="MHD63" s="226"/>
      <c r="MHE63" s="224"/>
      <c r="MHF63" s="225"/>
      <c r="MHG63" s="226"/>
      <c r="MHH63" s="227"/>
      <c r="MHI63" s="228"/>
      <c r="MHJ63" s="228"/>
      <c r="MHK63" s="228"/>
      <c r="MHL63" s="228"/>
      <c r="MHM63" s="228"/>
      <c r="MHN63" s="228"/>
      <c r="MHO63" s="226"/>
      <c r="MHP63" s="226"/>
      <c r="MHQ63" s="224"/>
      <c r="MHR63" s="225"/>
      <c r="MHS63" s="226"/>
      <c r="MHT63" s="227"/>
      <c r="MHU63" s="228"/>
      <c r="MHV63" s="228"/>
      <c r="MHW63" s="228"/>
      <c r="MHX63" s="228"/>
      <c r="MHY63" s="228"/>
      <c r="MHZ63" s="228"/>
      <c r="MIA63" s="226"/>
      <c r="MIB63" s="226"/>
      <c r="MIC63" s="224"/>
      <c r="MID63" s="225"/>
      <c r="MIE63" s="226"/>
      <c r="MIF63" s="227"/>
      <c r="MIG63" s="228"/>
      <c r="MIH63" s="228"/>
      <c r="MII63" s="228"/>
      <c r="MIJ63" s="228"/>
      <c r="MIK63" s="228"/>
      <c r="MIL63" s="228"/>
      <c r="MIM63" s="226"/>
      <c r="MIN63" s="226"/>
      <c r="MIO63" s="224"/>
      <c r="MIP63" s="225"/>
      <c r="MIQ63" s="226"/>
      <c r="MIR63" s="227"/>
      <c r="MIS63" s="228"/>
      <c r="MIT63" s="228"/>
      <c r="MIU63" s="228"/>
      <c r="MIV63" s="228"/>
      <c r="MIW63" s="228"/>
      <c r="MIX63" s="228"/>
      <c r="MIY63" s="226"/>
      <c r="MIZ63" s="226"/>
      <c r="MJA63" s="224"/>
      <c r="MJB63" s="225"/>
      <c r="MJC63" s="226"/>
      <c r="MJD63" s="227"/>
      <c r="MJE63" s="228"/>
      <c r="MJF63" s="228"/>
      <c r="MJG63" s="228"/>
      <c r="MJH63" s="228"/>
      <c r="MJI63" s="228"/>
      <c r="MJJ63" s="228"/>
      <c r="MJK63" s="226"/>
      <c r="MJL63" s="226"/>
      <c r="MJM63" s="224"/>
      <c r="MJN63" s="225"/>
      <c r="MJO63" s="226"/>
      <c r="MJP63" s="227"/>
      <c r="MJQ63" s="228"/>
      <c r="MJR63" s="228"/>
      <c r="MJS63" s="228"/>
      <c r="MJT63" s="228"/>
      <c r="MJU63" s="228"/>
      <c r="MJV63" s="228"/>
      <c r="MJW63" s="226"/>
      <c r="MJX63" s="226"/>
      <c r="MJY63" s="224"/>
      <c r="MJZ63" s="225"/>
      <c r="MKA63" s="226"/>
      <c r="MKB63" s="227"/>
      <c r="MKC63" s="228"/>
      <c r="MKD63" s="228"/>
      <c r="MKE63" s="228"/>
      <c r="MKF63" s="228"/>
      <c r="MKG63" s="228"/>
      <c r="MKH63" s="228"/>
      <c r="MKI63" s="226"/>
      <c r="MKJ63" s="226"/>
      <c r="MKK63" s="224"/>
      <c r="MKL63" s="225"/>
      <c r="MKM63" s="226"/>
      <c r="MKN63" s="227"/>
      <c r="MKO63" s="228"/>
      <c r="MKP63" s="228"/>
      <c r="MKQ63" s="228"/>
      <c r="MKR63" s="228"/>
      <c r="MKS63" s="228"/>
      <c r="MKT63" s="228"/>
      <c r="MKU63" s="226"/>
      <c r="MKV63" s="226"/>
      <c r="MKW63" s="224"/>
      <c r="MKX63" s="225"/>
      <c r="MKY63" s="226"/>
      <c r="MKZ63" s="227"/>
      <c r="MLA63" s="228"/>
      <c r="MLB63" s="228"/>
      <c r="MLC63" s="228"/>
      <c r="MLD63" s="228"/>
      <c r="MLE63" s="228"/>
      <c r="MLF63" s="228"/>
      <c r="MLG63" s="226"/>
      <c r="MLH63" s="226"/>
      <c r="MLI63" s="224"/>
      <c r="MLJ63" s="225"/>
      <c r="MLK63" s="226"/>
      <c r="MLL63" s="227"/>
      <c r="MLM63" s="228"/>
      <c r="MLN63" s="228"/>
      <c r="MLO63" s="228"/>
      <c r="MLP63" s="228"/>
      <c r="MLQ63" s="228"/>
      <c r="MLR63" s="228"/>
      <c r="MLS63" s="226"/>
      <c r="MLT63" s="226"/>
      <c r="MLU63" s="224"/>
      <c r="MLV63" s="225"/>
      <c r="MLW63" s="226"/>
      <c r="MLX63" s="227"/>
      <c r="MLY63" s="228"/>
      <c r="MLZ63" s="228"/>
      <c r="MMA63" s="228"/>
      <c r="MMB63" s="228"/>
      <c r="MMC63" s="228"/>
      <c r="MMD63" s="228"/>
      <c r="MME63" s="226"/>
      <c r="MMF63" s="226"/>
      <c r="MMG63" s="224"/>
      <c r="MMH63" s="225"/>
      <c r="MMI63" s="226"/>
      <c r="MMJ63" s="227"/>
      <c r="MMK63" s="228"/>
      <c r="MML63" s="228"/>
      <c r="MMM63" s="228"/>
      <c r="MMN63" s="228"/>
      <c r="MMO63" s="228"/>
      <c r="MMP63" s="228"/>
      <c r="MMQ63" s="226"/>
      <c r="MMR63" s="226"/>
      <c r="MMS63" s="224"/>
      <c r="MMT63" s="225"/>
      <c r="MMU63" s="226"/>
      <c r="MMV63" s="227"/>
      <c r="MMW63" s="228"/>
      <c r="MMX63" s="228"/>
      <c r="MMY63" s="228"/>
      <c r="MMZ63" s="228"/>
      <c r="MNA63" s="228"/>
      <c r="MNB63" s="228"/>
      <c r="MNC63" s="226"/>
      <c r="MND63" s="226"/>
      <c r="MNE63" s="224"/>
      <c r="MNF63" s="225"/>
      <c r="MNG63" s="226"/>
      <c r="MNH63" s="227"/>
      <c r="MNI63" s="228"/>
      <c r="MNJ63" s="228"/>
      <c r="MNK63" s="228"/>
      <c r="MNL63" s="228"/>
      <c r="MNM63" s="228"/>
      <c r="MNN63" s="228"/>
      <c r="MNO63" s="226"/>
      <c r="MNP63" s="226"/>
      <c r="MNQ63" s="224"/>
      <c r="MNR63" s="225"/>
      <c r="MNS63" s="226"/>
      <c r="MNT63" s="227"/>
      <c r="MNU63" s="228"/>
      <c r="MNV63" s="228"/>
      <c r="MNW63" s="228"/>
      <c r="MNX63" s="228"/>
      <c r="MNY63" s="228"/>
      <c r="MNZ63" s="228"/>
      <c r="MOA63" s="226"/>
      <c r="MOB63" s="226"/>
      <c r="MOC63" s="224"/>
      <c r="MOD63" s="225"/>
      <c r="MOE63" s="226"/>
      <c r="MOF63" s="227"/>
      <c r="MOG63" s="228"/>
      <c r="MOH63" s="228"/>
      <c r="MOI63" s="228"/>
      <c r="MOJ63" s="228"/>
      <c r="MOK63" s="228"/>
      <c r="MOL63" s="228"/>
      <c r="MOM63" s="226"/>
      <c r="MON63" s="226"/>
      <c r="MOO63" s="224"/>
      <c r="MOP63" s="225"/>
      <c r="MOQ63" s="226"/>
      <c r="MOR63" s="227"/>
      <c r="MOS63" s="228"/>
      <c r="MOT63" s="228"/>
      <c r="MOU63" s="228"/>
      <c r="MOV63" s="228"/>
      <c r="MOW63" s="228"/>
      <c r="MOX63" s="228"/>
      <c r="MOY63" s="226"/>
      <c r="MOZ63" s="226"/>
      <c r="MPA63" s="224"/>
      <c r="MPB63" s="225"/>
      <c r="MPC63" s="226"/>
      <c r="MPD63" s="227"/>
      <c r="MPE63" s="228"/>
      <c r="MPF63" s="228"/>
      <c r="MPG63" s="228"/>
      <c r="MPH63" s="228"/>
      <c r="MPI63" s="228"/>
      <c r="MPJ63" s="228"/>
      <c r="MPK63" s="226"/>
      <c r="MPL63" s="226"/>
      <c r="MPM63" s="224"/>
      <c r="MPN63" s="225"/>
      <c r="MPO63" s="226"/>
      <c r="MPP63" s="227"/>
      <c r="MPQ63" s="228"/>
      <c r="MPR63" s="228"/>
      <c r="MPS63" s="228"/>
      <c r="MPT63" s="228"/>
      <c r="MPU63" s="228"/>
      <c r="MPV63" s="228"/>
      <c r="MPW63" s="226"/>
      <c r="MPX63" s="226"/>
      <c r="MPY63" s="224"/>
      <c r="MPZ63" s="225"/>
      <c r="MQA63" s="226"/>
      <c r="MQB63" s="227"/>
      <c r="MQC63" s="228"/>
      <c r="MQD63" s="228"/>
      <c r="MQE63" s="228"/>
      <c r="MQF63" s="228"/>
      <c r="MQG63" s="228"/>
      <c r="MQH63" s="228"/>
      <c r="MQI63" s="226"/>
      <c r="MQJ63" s="226"/>
      <c r="MQK63" s="224"/>
      <c r="MQL63" s="225"/>
      <c r="MQM63" s="226"/>
      <c r="MQN63" s="227"/>
      <c r="MQO63" s="228"/>
      <c r="MQP63" s="228"/>
      <c r="MQQ63" s="228"/>
      <c r="MQR63" s="228"/>
      <c r="MQS63" s="228"/>
      <c r="MQT63" s="228"/>
      <c r="MQU63" s="226"/>
      <c r="MQV63" s="226"/>
      <c r="MQW63" s="224"/>
      <c r="MQX63" s="225"/>
      <c r="MQY63" s="226"/>
      <c r="MQZ63" s="227"/>
      <c r="MRA63" s="228"/>
      <c r="MRB63" s="228"/>
      <c r="MRC63" s="228"/>
      <c r="MRD63" s="228"/>
      <c r="MRE63" s="228"/>
      <c r="MRF63" s="228"/>
      <c r="MRG63" s="226"/>
      <c r="MRH63" s="226"/>
      <c r="MRI63" s="224"/>
      <c r="MRJ63" s="225"/>
      <c r="MRK63" s="226"/>
      <c r="MRL63" s="227"/>
      <c r="MRM63" s="228"/>
      <c r="MRN63" s="228"/>
      <c r="MRO63" s="228"/>
      <c r="MRP63" s="228"/>
      <c r="MRQ63" s="228"/>
      <c r="MRR63" s="228"/>
      <c r="MRS63" s="226"/>
      <c r="MRT63" s="226"/>
      <c r="MRU63" s="224"/>
      <c r="MRV63" s="225"/>
      <c r="MRW63" s="226"/>
      <c r="MRX63" s="227"/>
      <c r="MRY63" s="228"/>
      <c r="MRZ63" s="228"/>
      <c r="MSA63" s="228"/>
      <c r="MSB63" s="228"/>
      <c r="MSC63" s="228"/>
      <c r="MSD63" s="228"/>
      <c r="MSE63" s="226"/>
      <c r="MSF63" s="226"/>
      <c r="MSG63" s="224"/>
      <c r="MSH63" s="225"/>
      <c r="MSI63" s="226"/>
      <c r="MSJ63" s="227"/>
      <c r="MSK63" s="228"/>
      <c r="MSL63" s="228"/>
      <c r="MSM63" s="228"/>
      <c r="MSN63" s="228"/>
      <c r="MSO63" s="228"/>
      <c r="MSP63" s="228"/>
      <c r="MSQ63" s="226"/>
      <c r="MSR63" s="226"/>
      <c r="MSS63" s="224"/>
      <c r="MST63" s="225"/>
      <c r="MSU63" s="226"/>
      <c r="MSV63" s="227"/>
      <c r="MSW63" s="228"/>
      <c r="MSX63" s="228"/>
      <c r="MSY63" s="228"/>
      <c r="MSZ63" s="228"/>
      <c r="MTA63" s="228"/>
      <c r="MTB63" s="228"/>
      <c r="MTC63" s="226"/>
      <c r="MTD63" s="226"/>
      <c r="MTE63" s="224"/>
      <c r="MTF63" s="225"/>
      <c r="MTG63" s="226"/>
      <c r="MTH63" s="227"/>
      <c r="MTI63" s="228"/>
      <c r="MTJ63" s="228"/>
      <c r="MTK63" s="228"/>
      <c r="MTL63" s="228"/>
      <c r="MTM63" s="228"/>
      <c r="MTN63" s="228"/>
      <c r="MTO63" s="226"/>
      <c r="MTP63" s="226"/>
      <c r="MTQ63" s="224"/>
      <c r="MTR63" s="225"/>
      <c r="MTS63" s="226"/>
      <c r="MTT63" s="227"/>
      <c r="MTU63" s="228"/>
      <c r="MTV63" s="228"/>
      <c r="MTW63" s="228"/>
      <c r="MTX63" s="228"/>
      <c r="MTY63" s="228"/>
      <c r="MTZ63" s="228"/>
      <c r="MUA63" s="226"/>
      <c r="MUB63" s="226"/>
      <c r="MUC63" s="224"/>
      <c r="MUD63" s="225"/>
      <c r="MUE63" s="226"/>
      <c r="MUF63" s="227"/>
      <c r="MUG63" s="228"/>
      <c r="MUH63" s="228"/>
      <c r="MUI63" s="228"/>
      <c r="MUJ63" s="228"/>
      <c r="MUK63" s="228"/>
      <c r="MUL63" s="228"/>
      <c r="MUM63" s="226"/>
      <c r="MUN63" s="226"/>
      <c r="MUO63" s="224"/>
      <c r="MUP63" s="225"/>
      <c r="MUQ63" s="226"/>
      <c r="MUR63" s="227"/>
      <c r="MUS63" s="228"/>
      <c r="MUT63" s="228"/>
      <c r="MUU63" s="228"/>
      <c r="MUV63" s="228"/>
      <c r="MUW63" s="228"/>
      <c r="MUX63" s="228"/>
      <c r="MUY63" s="226"/>
      <c r="MUZ63" s="226"/>
      <c r="MVA63" s="224"/>
      <c r="MVB63" s="225"/>
      <c r="MVC63" s="226"/>
      <c r="MVD63" s="227"/>
      <c r="MVE63" s="228"/>
      <c r="MVF63" s="228"/>
      <c r="MVG63" s="228"/>
      <c r="MVH63" s="228"/>
      <c r="MVI63" s="228"/>
      <c r="MVJ63" s="228"/>
      <c r="MVK63" s="226"/>
      <c r="MVL63" s="226"/>
      <c r="MVM63" s="224"/>
      <c r="MVN63" s="225"/>
      <c r="MVO63" s="226"/>
      <c r="MVP63" s="227"/>
      <c r="MVQ63" s="228"/>
      <c r="MVR63" s="228"/>
      <c r="MVS63" s="228"/>
      <c r="MVT63" s="228"/>
      <c r="MVU63" s="228"/>
      <c r="MVV63" s="228"/>
      <c r="MVW63" s="226"/>
      <c r="MVX63" s="226"/>
      <c r="MVY63" s="224"/>
      <c r="MVZ63" s="225"/>
      <c r="MWA63" s="226"/>
      <c r="MWB63" s="227"/>
      <c r="MWC63" s="228"/>
      <c r="MWD63" s="228"/>
      <c r="MWE63" s="228"/>
      <c r="MWF63" s="228"/>
      <c r="MWG63" s="228"/>
      <c r="MWH63" s="228"/>
      <c r="MWI63" s="226"/>
      <c r="MWJ63" s="226"/>
      <c r="MWK63" s="224"/>
      <c r="MWL63" s="225"/>
      <c r="MWM63" s="226"/>
      <c r="MWN63" s="227"/>
      <c r="MWO63" s="228"/>
      <c r="MWP63" s="228"/>
      <c r="MWQ63" s="228"/>
      <c r="MWR63" s="228"/>
      <c r="MWS63" s="228"/>
      <c r="MWT63" s="228"/>
      <c r="MWU63" s="226"/>
      <c r="MWV63" s="226"/>
      <c r="MWW63" s="224"/>
      <c r="MWX63" s="225"/>
      <c r="MWY63" s="226"/>
      <c r="MWZ63" s="227"/>
      <c r="MXA63" s="228"/>
      <c r="MXB63" s="228"/>
      <c r="MXC63" s="228"/>
      <c r="MXD63" s="228"/>
      <c r="MXE63" s="228"/>
      <c r="MXF63" s="228"/>
      <c r="MXG63" s="226"/>
      <c r="MXH63" s="226"/>
      <c r="MXI63" s="224"/>
      <c r="MXJ63" s="225"/>
      <c r="MXK63" s="226"/>
      <c r="MXL63" s="227"/>
      <c r="MXM63" s="228"/>
      <c r="MXN63" s="228"/>
      <c r="MXO63" s="228"/>
      <c r="MXP63" s="228"/>
      <c r="MXQ63" s="228"/>
      <c r="MXR63" s="228"/>
      <c r="MXS63" s="226"/>
      <c r="MXT63" s="226"/>
      <c r="MXU63" s="224"/>
      <c r="MXV63" s="225"/>
      <c r="MXW63" s="226"/>
      <c r="MXX63" s="227"/>
      <c r="MXY63" s="228"/>
      <c r="MXZ63" s="228"/>
      <c r="MYA63" s="228"/>
      <c r="MYB63" s="228"/>
      <c r="MYC63" s="228"/>
      <c r="MYD63" s="228"/>
      <c r="MYE63" s="226"/>
      <c r="MYF63" s="226"/>
      <c r="MYG63" s="224"/>
      <c r="MYH63" s="225"/>
      <c r="MYI63" s="226"/>
      <c r="MYJ63" s="227"/>
      <c r="MYK63" s="228"/>
      <c r="MYL63" s="228"/>
      <c r="MYM63" s="228"/>
      <c r="MYN63" s="228"/>
      <c r="MYO63" s="228"/>
      <c r="MYP63" s="228"/>
      <c r="MYQ63" s="226"/>
      <c r="MYR63" s="226"/>
      <c r="MYS63" s="224"/>
      <c r="MYT63" s="225"/>
      <c r="MYU63" s="226"/>
      <c r="MYV63" s="227"/>
      <c r="MYW63" s="228"/>
      <c r="MYX63" s="228"/>
      <c r="MYY63" s="228"/>
      <c r="MYZ63" s="228"/>
      <c r="MZA63" s="228"/>
      <c r="MZB63" s="228"/>
      <c r="MZC63" s="226"/>
      <c r="MZD63" s="226"/>
      <c r="MZE63" s="224"/>
      <c r="MZF63" s="225"/>
      <c r="MZG63" s="226"/>
      <c r="MZH63" s="227"/>
      <c r="MZI63" s="228"/>
      <c r="MZJ63" s="228"/>
      <c r="MZK63" s="228"/>
      <c r="MZL63" s="228"/>
      <c r="MZM63" s="228"/>
      <c r="MZN63" s="228"/>
      <c r="MZO63" s="226"/>
      <c r="MZP63" s="226"/>
      <c r="MZQ63" s="224"/>
      <c r="MZR63" s="225"/>
      <c r="MZS63" s="226"/>
      <c r="MZT63" s="227"/>
      <c r="MZU63" s="228"/>
      <c r="MZV63" s="228"/>
      <c r="MZW63" s="228"/>
      <c r="MZX63" s="228"/>
      <c r="MZY63" s="228"/>
      <c r="MZZ63" s="228"/>
      <c r="NAA63" s="226"/>
      <c r="NAB63" s="226"/>
      <c r="NAC63" s="224"/>
      <c r="NAD63" s="225"/>
      <c r="NAE63" s="226"/>
      <c r="NAF63" s="227"/>
      <c r="NAG63" s="228"/>
      <c r="NAH63" s="228"/>
      <c r="NAI63" s="228"/>
      <c r="NAJ63" s="228"/>
      <c r="NAK63" s="228"/>
      <c r="NAL63" s="228"/>
      <c r="NAM63" s="226"/>
      <c r="NAN63" s="226"/>
      <c r="NAO63" s="224"/>
      <c r="NAP63" s="225"/>
      <c r="NAQ63" s="226"/>
      <c r="NAR63" s="227"/>
      <c r="NAS63" s="228"/>
      <c r="NAT63" s="228"/>
      <c r="NAU63" s="228"/>
      <c r="NAV63" s="228"/>
      <c r="NAW63" s="228"/>
      <c r="NAX63" s="228"/>
      <c r="NAY63" s="226"/>
      <c r="NAZ63" s="226"/>
      <c r="NBA63" s="224"/>
      <c r="NBB63" s="225"/>
      <c r="NBC63" s="226"/>
      <c r="NBD63" s="227"/>
      <c r="NBE63" s="228"/>
      <c r="NBF63" s="228"/>
      <c r="NBG63" s="228"/>
      <c r="NBH63" s="228"/>
      <c r="NBI63" s="228"/>
      <c r="NBJ63" s="228"/>
      <c r="NBK63" s="226"/>
      <c r="NBL63" s="226"/>
      <c r="NBM63" s="224"/>
      <c r="NBN63" s="225"/>
      <c r="NBO63" s="226"/>
      <c r="NBP63" s="227"/>
      <c r="NBQ63" s="228"/>
      <c r="NBR63" s="228"/>
      <c r="NBS63" s="228"/>
      <c r="NBT63" s="228"/>
      <c r="NBU63" s="228"/>
      <c r="NBV63" s="228"/>
      <c r="NBW63" s="226"/>
      <c r="NBX63" s="226"/>
      <c r="NBY63" s="224"/>
      <c r="NBZ63" s="225"/>
      <c r="NCA63" s="226"/>
      <c r="NCB63" s="227"/>
      <c r="NCC63" s="228"/>
      <c r="NCD63" s="228"/>
      <c r="NCE63" s="228"/>
      <c r="NCF63" s="228"/>
      <c r="NCG63" s="228"/>
      <c r="NCH63" s="228"/>
      <c r="NCI63" s="226"/>
      <c r="NCJ63" s="226"/>
      <c r="NCK63" s="224"/>
      <c r="NCL63" s="225"/>
      <c r="NCM63" s="226"/>
      <c r="NCN63" s="227"/>
      <c r="NCO63" s="228"/>
      <c r="NCP63" s="228"/>
      <c r="NCQ63" s="228"/>
      <c r="NCR63" s="228"/>
      <c r="NCS63" s="228"/>
      <c r="NCT63" s="228"/>
      <c r="NCU63" s="226"/>
      <c r="NCV63" s="226"/>
      <c r="NCW63" s="224"/>
      <c r="NCX63" s="225"/>
      <c r="NCY63" s="226"/>
      <c r="NCZ63" s="227"/>
      <c r="NDA63" s="228"/>
      <c r="NDB63" s="228"/>
      <c r="NDC63" s="228"/>
      <c r="NDD63" s="228"/>
      <c r="NDE63" s="228"/>
      <c r="NDF63" s="228"/>
      <c r="NDG63" s="226"/>
      <c r="NDH63" s="226"/>
      <c r="NDI63" s="224"/>
      <c r="NDJ63" s="225"/>
      <c r="NDK63" s="226"/>
      <c r="NDL63" s="227"/>
      <c r="NDM63" s="228"/>
      <c r="NDN63" s="228"/>
      <c r="NDO63" s="228"/>
      <c r="NDP63" s="228"/>
      <c r="NDQ63" s="228"/>
      <c r="NDR63" s="228"/>
      <c r="NDS63" s="226"/>
      <c r="NDT63" s="226"/>
      <c r="NDU63" s="224"/>
      <c r="NDV63" s="225"/>
      <c r="NDW63" s="226"/>
      <c r="NDX63" s="227"/>
      <c r="NDY63" s="228"/>
      <c r="NDZ63" s="228"/>
      <c r="NEA63" s="228"/>
      <c r="NEB63" s="228"/>
      <c r="NEC63" s="228"/>
      <c r="NED63" s="228"/>
      <c r="NEE63" s="226"/>
      <c r="NEF63" s="226"/>
      <c r="NEG63" s="224"/>
      <c r="NEH63" s="225"/>
      <c r="NEI63" s="226"/>
      <c r="NEJ63" s="227"/>
      <c r="NEK63" s="228"/>
      <c r="NEL63" s="228"/>
      <c r="NEM63" s="228"/>
      <c r="NEN63" s="228"/>
      <c r="NEO63" s="228"/>
      <c r="NEP63" s="228"/>
      <c r="NEQ63" s="226"/>
      <c r="NER63" s="226"/>
      <c r="NES63" s="224"/>
      <c r="NET63" s="225"/>
      <c r="NEU63" s="226"/>
      <c r="NEV63" s="227"/>
      <c r="NEW63" s="228"/>
      <c r="NEX63" s="228"/>
      <c r="NEY63" s="228"/>
      <c r="NEZ63" s="228"/>
      <c r="NFA63" s="228"/>
      <c r="NFB63" s="228"/>
      <c r="NFC63" s="226"/>
      <c r="NFD63" s="226"/>
      <c r="NFE63" s="224"/>
      <c r="NFF63" s="225"/>
      <c r="NFG63" s="226"/>
      <c r="NFH63" s="227"/>
      <c r="NFI63" s="228"/>
      <c r="NFJ63" s="228"/>
      <c r="NFK63" s="228"/>
      <c r="NFL63" s="228"/>
      <c r="NFM63" s="228"/>
      <c r="NFN63" s="228"/>
      <c r="NFO63" s="226"/>
      <c r="NFP63" s="226"/>
      <c r="NFQ63" s="224"/>
      <c r="NFR63" s="225"/>
      <c r="NFS63" s="226"/>
      <c r="NFT63" s="227"/>
      <c r="NFU63" s="228"/>
      <c r="NFV63" s="228"/>
      <c r="NFW63" s="228"/>
      <c r="NFX63" s="228"/>
      <c r="NFY63" s="228"/>
      <c r="NFZ63" s="228"/>
      <c r="NGA63" s="226"/>
      <c r="NGB63" s="226"/>
      <c r="NGC63" s="224"/>
      <c r="NGD63" s="225"/>
      <c r="NGE63" s="226"/>
      <c r="NGF63" s="227"/>
      <c r="NGG63" s="228"/>
      <c r="NGH63" s="228"/>
      <c r="NGI63" s="228"/>
      <c r="NGJ63" s="228"/>
      <c r="NGK63" s="228"/>
      <c r="NGL63" s="228"/>
      <c r="NGM63" s="226"/>
      <c r="NGN63" s="226"/>
      <c r="NGO63" s="224"/>
      <c r="NGP63" s="225"/>
      <c r="NGQ63" s="226"/>
      <c r="NGR63" s="227"/>
      <c r="NGS63" s="228"/>
      <c r="NGT63" s="228"/>
      <c r="NGU63" s="228"/>
      <c r="NGV63" s="228"/>
      <c r="NGW63" s="228"/>
      <c r="NGX63" s="228"/>
      <c r="NGY63" s="226"/>
      <c r="NGZ63" s="226"/>
      <c r="NHA63" s="224"/>
      <c r="NHB63" s="225"/>
      <c r="NHC63" s="226"/>
      <c r="NHD63" s="227"/>
      <c r="NHE63" s="228"/>
      <c r="NHF63" s="228"/>
      <c r="NHG63" s="228"/>
      <c r="NHH63" s="228"/>
      <c r="NHI63" s="228"/>
      <c r="NHJ63" s="228"/>
      <c r="NHK63" s="226"/>
      <c r="NHL63" s="226"/>
      <c r="NHM63" s="224"/>
      <c r="NHN63" s="225"/>
      <c r="NHO63" s="226"/>
      <c r="NHP63" s="227"/>
      <c r="NHQ63" s="228"/>
      <c r="NHR63" s="228"/>
      <c r="NHS63" s="228"/>
      <c r="NHT63" s="228"/>
      <c r="NHU63" s="228"/>
      <c r="NHV63" s="228"/>
      <c r="NHW63" s="226"/>
      <c r="NHX63" s="226"/>
      <c r="NHY63" s="224"/>
      <c r="NHZ63" s="225"/>
      <c r="NIA63" s="226"/>
      <c r="NIB63" s="227"/>
      <c r="NIC63" s="228"/>
      <c r="NID63" s="228"/>
      <c r="NIE63" s="228"/>
      <c r="NIF63" s="228"/>
      <c r="NIG63" s="228"/>
      <c r="NIH63" s="228"/>
      <c r="NII63" s="226"/>
      <c r="NIJ63" s="226"/>
      <c r="NIK63" s="224"/>
      <c r="NIL63" s="225"/>
      <c r="NIM63" s="226"/>
      <c r="NIN63" s="227"/>
      <c r="NIO63" s="228"/>
      <c r="NIP63" s="228"/>
      <c r="NIQ63" s="228"/>
      <c r="NIR63" s="228"/>
      <c r="NIS63" s="228"/>
      <c r="NIT63" s="228"/>
      <c r="NIU63" s="226"/>
      <c r="NIV63" s="226"/>
      <c r="NIW63" s="224"/>
      <c r="NIX63" s="225"/>
      <c r="NIY63" s="226"/>
      <c r="NIZ63" s="227"/>
      <c r="NJA63" s="228"/>
      <c r="NJB63" s="228"/>
      <c r="NJC63" s="228"/>
      <c r="NJD63" s="228"/>
      <c r="NJE63" s="228"/>
      <c r="NJF63" s="228"/>
      <c r="NJG63" s="226"/>
      <c r="NJH63" s="226"/>
      <c r="NJI63" s="224"/>
      <c r="NJJ63" s="225"/>
      <c r="NJK63" s="226"/>
      <c r="NJL63" s="227"/>
      <c r="NJM63" s="228"/>
      <c r="NJN63" s="228"/>
      <c r="NJO63" s="228"/>
      <c r="NJP63" s="228"/>
      <c r="NJQ63" s="228"/>
      <c r="NJR63" s="228"/>
      <c r="NJS63" s="226"/>
      <c r="NJT63" s="226"/>
      <c r="NJU63" s="224"/>
      <c r="NJV63" s="225"/>
      <c r="NJW63" s="226"/>
      <c r="NJX63" s="227"/>
      <c r="NJY63" s="228"/>
      <c r="NJZ63" s="228"/>
      <c r="NKA63" s="228"/>
      <c r="NKB63" s="228"/>
      <c r="NKC63" s="228"/>
      <c r="NKD63" s="228"/>
      <c r="NKE63" s="226"/>
      <c r="NKF63" s="226"/>
      <c r="NKG63" s="224"/>
      <c r="NKH63" s="225"/>
      <c r="NKI63" s="226"/>
      <c r="NKJ63" s="227"/>
      <c r="NKK63" s="228"/>
      <c r="NKL63" s="228"/>
      <c r="NKM63" s="228"/>
      <c r="NKN63" s="228"/>
      <c r="NKO63" s="228"/>
      <c r="NKP63" s="228"/>
      <c r="NKQ63" s="226"/>
      <c r="NKR63" s="226"/>
      <c r="NKS63" s="224"/>
      <c r="NKT63" s="225"/>
      <c r="NKU63" s="226"/>
      <c r="NKV63" s="227"/>
      <c r="NKW63" s="228"/>
      <c r="NKX63" s="228"/>
      <c r="NKY63" s="228"/>
      <c r="NKZ63" s="228"/>
      <c r="NLA63" s="228"/>
      <c r="NLB63" s="228"/>
      <c r="NLC63" s="226"/>
      <c r="NLD63" s="226"/>
      <c r="NLE63" s="224"/>
      <c r="NLF63" s="225"/>
      <c r="NLG63" s="226"/>
      <c r="NLH63" s="227"/>
      <c r="NLI63" s="228"/>
      <c r="NLJ63" s="228"/>
      <c r="NLK63" s="228"/>
      <c r="NLL63" s="228"/>
      <c r="NLM63" s="228"/>
      <c r="NLN63" s="228"/>
      <c r="NLO63" s="226"/>
      <c r="NLP63" s="226"/>
      <c r="NLQ63" s="224"/>
      <c r="NLR63" s="225"/>
      <c r="NLS63" s="226"/>
      <c r="NLT63" s="227"/>
      <c r="NLU63" s="228"/>
      <c r="NLV63" s="228"/>
      <c r="NLW63" s="228"/>
      <c r="NLX63" s="228"/>
      <c r="NLY63" s="228"/>
      <c r="NLZ63" s="228"/>
      <c r="NMA63" s="226"/>
      <c r="NMB63" s="226"/>
      <c r="NMC63" s="224"/>
      <c r="NMD63" s="225"/>
      <c r="NME63" s="226"/>
      <c r="NMF63" s="227"/>
      <c r="NMG63" s="228"/>
      <c r="NMH63" s="228"/>
      <c r="NMI63" s="228"/>
      <c r="NMJ63" s="228"/>
      <c r="NMK63" s="228"/>
      <c r="NML63" s="228"/>
      <c r="NMM63" s="226"/>
      <c r="NMN63" s="226"/>
      <c r="NMO63" s="224"/>
      <c r="NMP63" s="225"/>
      <c r="NMQ63" s="226"/>
      <c r="NMR63" s="227"/>
      <c r="NMS63" s="228"/>
      <c r="NMT63" s="228"/>
      <c r="NMU63" s="228"/>
      <c r="NMV63" s="228"/>
      <c r="NMW63" s="228"/>
      <c r="NMX63" s="228"/>
      <c r="NMY63" s="226"/>
      <c r="NMZ63" s="226"/>
      <c r="NNA63" s="224"/>
      <c r="NNB63" s="225"/>
      <c r="NNC63" s="226"/>
      <c r="NND63" s="227"/>
      <c r="NNE63" s="228"/>
      <c r="NNF63" s="228"/>
      <c r="NNG63" s="228"/>
      <c r="NNH63" s="228"/>
      <c r="NNI63" s="228"/>
      <c r="NNJ63" s="228"/>
      <c r="NNK63" s="226"/>
      <c r="NNL63" s="226"/>
      <c r="NNM63" s="224"/>
      <c r="NNN63" s="225"/>
      <c r="NNO63" s="226"/>
      <c r="NNP63" s="227"/>
      <c r="NNQ63" s="228"/>
      <c r="NNR63" s="228"/>
      <c r="NNS63" s="228"/>
      <c r="NNT63" s="228"/>
      <c r="NNU63" s="228"/>
      <c r="NNV63" s="228"/>
      <c r="NNW63" s="226"/>
      <c r="NNX63" s="226"/>
      <c r="NNY63" s="224"/>
      <c r="NNZ63" s="225"/>
      <c r="NOA63" s="226"/>
      <c r="NOB63" s="227"/>
      <c r="NOC63" s="228"/>
      <c r="NOD63" s="228"/>
      <c r="NOE63" s="228"/>
      <c r="NOF63" s="228"/>
      <c r="NOG63" s="228"/>
      <c r="NOH63" s="228"/>
      <c r="NOI63" s="226"/>
      <c r="NOJ63" s="226"/>
      <c r="NOK63" s="224"/>
      <c r="NOL63" s="225"/>
      <c r="NOM63" s="226"/>
      <c r="NON63" s="227"/>
      <c r="NOO63" s="228"/>
      <c r="NOP63" s="228"/>
      <c r="NOQ63" s="228"/>
      <c r="NOR63" s="228"/>
      <c r="NOS63" s="228"/>
      <c r="NOT63" s="228"/>
      <c r="NOU63" s="226"/>
      <c r="NOV63" s="226"/>
      <c r="NOW63" s="224"/>
      <c r="NOX63" s="225"/>
      <c r="NOY63" s="226"/>
      <c r="NOZ63" s="227"/>
      <c r="NPA63" s="228"/>
      <c r="NPB63" s="228"/>
      <c r="NPC63" s="228"/>
      <c r="NPD63" s="228"/>
      <c r="NPE63" s="228"/>
      <c r="NPF63" s="228"/>
      <c r="NPG63" s="226"/>
      <c r="NPH63" s="226"/>
      <c r="NPI63" s="224"/>
      <c r="NPJ63" s="225"/>
      <c r="NPK63" s="226"/>
      <c r="NPL63" s="227"/>
      <c r="NPM63" s="228"/>
      <c r="NPN63" s="228"/>
      <c r="NPO63" s="228"/>
      <c r="NPP63" s="228"/>
      <c r="NPQ63" s="228"/>
      <c r="NPR63" s="228"/>
      <c r="NPS63" s="226"/>
      <c r="NPT63" s="226"/>
      <c r="NPU63" s="224"/>
      <c r="NPV63" s="225"/>
      <c r="NPW63" s="226"/>
      <c r="NPX63" s="227"/>
      <c r="NPY63" s="228"/>
      <c r="NPZ63" s="228"/>
      <c r="NQA63" s="228"/>
      <c r="NQB63" s="228"/>
      <c r="NQC63" s="228"/>
      <c r="NQD63" s="228"/>
      <c r="NQE63" s="226"/>
      <c r="NQF63" s="226"/>
      <c r="NQG63" s="224"/>
      <c r="NQH63" s="225"/>
      <c r="NQI63" s="226"/>
      <c r="NQJ63" s="227"/>
      <c r="NQK63" s="228"/>
      <c r="NQL63" s="228"/>
      <c r="NQM63" s="228"/>
      <c r="NQN63" s="228"/>
      <c r="NQO63" s="228"/>
      <c r="NQP63" s="228"/>
      <c r="NQQ63" s="226"/>
      <c r="NQR63" s="226"/>
      <c r="NQS63" s="224"/>
      <c r="NQT63" s="225"/>
      <c r="NQU63" s="226"/>
      <c r="NQV63" s="227"/>
      <c r="NQW63" s="228"/>
      <c r="NQX63" s="228"/>
      <c r="NQY63" s="228"/>
      <c r="NQZ63" s="228"/>
      <c r="NRA63" s="228"/>
      <c r="NRB63" s="228"/>
      <c r="NRC63" s="226"/>
      <c r="NRD63" s="226"/>
      <c r="NRE63" s="224"/>
      <c r="NRF63" s="225"/>
      <c r="NRG63" s="226"/>
      <c r="NRH63" s="227"/>
      <c r="NRI63" s="228"/>
      <c r="NRJ63" s="228"/>
      <c r="NRK63" s="228"/>
      <c r="NRL63" s="228"/>
      <c r="NRM63" s="228"/>
      <c r="NRN63" s="228"/>
      <c r="NRO63" s="226"/>
      <c r="NRP63" s="226"/>
      <c r="NRQ63" s="224"/>
      <c r="NRR63" s="225"/>
      <c r="NRS63" s="226"/>
      <c r="NRT63" s="227"/>
      <c r="NRU63" s="228"/>
      <c r="NRV63" s="228"/>
      <c r="NRW63" s="228"/>
      <c r="NRX63" s="228"/>
      <c r="NRY63" s="228"/>
      <c r="NRZ63" s="228"/>
      <c r="NSA63" s="226"/>
      <c r="NSB63" s="226"/>
      <c r="NSC63" s="224"/>
      <c r="NSD63" s="225"/>
      <c r="NSE63" s="226"/>
      <c r="NSF63" s="227"/>
      <c r="NSG63" s="228"/>
      <c r="NSH63" s="228"/>
      <c r="NSI63" s="228"/>
      <c r="NSJ63" s="228"/>
      <c r="NSK63" s="228"/>
      <c r="NSL63" s="228"/>
      <c r="NSM63" s="226"/>
      <c r="NSN63" s="226"/>
      <c r="NSO63" s="224"/>
      <c r="NSP63" s="225"/>
      <c r="NSQ63" s="226"/>
      <c r="NSR63" s="227"/>
      <c r="NSS63" s="228"/>
      <c r="NST63" s="228"/>
      <c r="NSU63" s="228"/>
      <c r="NSV63" s="228"/>
      <c r="NSW63" s="228"/>
      <c r="NSX63" s="228"/>
      <c r="NSY63" s="226"/>
      <c r="NSZ63" s="226"/>
      <c r="NTA63" s="224"/>
      <c r="NTB63" s="225"/>
      <c r="NTC63" s="226"/>
      <c r="NTD63" s="227"/>
      <c r="NTE63" s="228"/>
      <c r="NTF63" s="228"/>
      <c r="NTG63" s="228"/>
      <c r="NTH63" s="228"/>
      <c r="NTI63" s="228"/>
      <c r="NTJ63" s="228"/>
      <c r="NTK63" s="226"/>
      <c r="NTL63" s="226"/>
      <c r="NTM63" s="224"/>
      <c r="NTN63" s="225"/>
      <c r="NTO63" s="226"/>
      <c r="NTP63" s="227"/>
      <c r="NTQ63" s="228"/>
      <c r="NTR63" s="228"/>
      <c r="NTS63" s="228"/>
      <c r="NTT63" s="228"/>
      <c r="NTU63" s="228"/>
      <c r="NTV63" s="228"/>
      <c r="NTW63" s="226"/>
      <c r="NTX63" s="226"/>
      <c r="NTY63" s="224"/>
      <c r="NTZ63" s="225"/>
      <c r="NUA63" s="226"/>
      <c r="NUB63" s="227"/>
      <c r="NUC63" s="228"/>
      <c r="NUD63" s="228"/>
      <c r="NUE63" s="228"/>
      <c r="NUF63" s="228"/>
      <c r="NUG63" s="228"/>
      <c r="NUH63" s="228"/>
      <c r="NUI63" s="226"/>
      <c r="NUJ63" s="226"/>
      <c r="NUK63" s="224"/>
      <c r="NUL63" s="225"/>
      <c r="NUM63" s="226"/>
      <c r="NUN63" s="227"/>
      <c r="NUO63" s="228"/>
      <c r="NUP63" s="228"/>
      <c r="NUQ63" s="228"/>
      <c r="NUR63" s="228"/>
      <c r="NUS63" s="228"/>
      <c r="NUT63" s="228"/>
      <c r="NUU63" s="226"/>
      <c r="NUV63" s="226"/>
      <c r="NUW63" s="224"/>
      <c r="NUX63" s="225"/>
      <c r="NUY63" s="226"/>
      <c r="NUZ63" s="227"/>
      <c r="NVA63" s="228"/>
      <c r="NVB63" s="228"/>
      <c r="NVC63" s="228"/>
      <c r="NVD63" s="228"/>
      <c r="NVE63" s="228"/>
      <c r="NVF63" s="228"/>
      <c r="NVG63" s="226"/>
      <c r="NVH63" s="226"/>
      <c r="NVI63" s="224"/>
      <c r="NVJ63" s="225"/>
      <c r="NVK63" s="226"/>
      <c r="NVL63" s="227"/>
      <c r="NVM63" s="228"/>
      <c r="NVN63" s="228"/>
      <c r="NVO63" s="228"/>
      <c r="NVP63" s="228"/>
      <c r="NVQ63" s="228"/>
      <c r="NVR63" s="228"/>
      <c r="NVS63" s="226"/>
      <c r="NVT63" s="226"/>
      <c r="NVU63" s="224"/>
      <c r="NVV63" s="225"/>
      <c r="NVW63" s="226"/>
      <c r="NVX63" s="227"/>
      <c r="NVY63" s="228"/>
      <c r="NVZ63" s="228"/>
      <c r="NWA63" s="228"/>
      <c r="NWB63" s="228"/>
      <c r="NWC63" s="228"/>
      <c r="NWD63" s="228"/>
      <c r="NWE63" s="226"/>
      <c r="NWF63" s="226"/>
      <c r="NWG63" s="224"/>
      <c r="NWH63" s="225"/>
      <c r="NWI63" s="226"/>
      <c r="NWJ63" s="227"/>
      <c r="NWK63" s="228"/>
      <c r="NWL63" s="228"/>
      <c r="NWM63" s="228"/>
      <c r="NWN63" s="228"/>
      <c r="NWO63" s="228"/>
      <c r="NWP63" s="228"/>
      <c r="NWQ63" s="226"/>
      <c r="NWR63" s="226"/>
      <c r="NWS63" s="224"/>
      <c r="NWT63" s="225"/>
      <c r="NWU63" s="226"/>
      <c r="NWV63" s="227"/>
      <c r="NWW63" s="228"/>
      <c r="NWX63" s="228"/>
      <c r="NWY63" s="228"/>
      <c r="NWZ63" s="228"/>
      <c r="NXA63" s="228"/>
      <c r="NXB63" s="228"/>
      <c r="NXC63" s="226"/>
      <c r="NXD63" s="226"/>
      <c r="NXE63" s="224"/>
      <c r="NXF63" s="225"/>
      <c r="NXG63" s="226"/>
      <c r="NXH63" s="227"/>
      <c r="NXI63" s="228"/>
      <c r="NXJ63" s="228"/>
      <c r="NXK63" s="228"/>
      <c r="NXL63" s="228"/>
      <c r="NXM63" s="228"/>
      <c r="NXN63" s="228"/>
      <c r="NXO63" s="226"/>
      <c r="NXP63" s="226"/>
      <c r="NXQ63" s="224"/>
      <c r="NXR63" s="225"/>
      <c r="NXS63" s="226"/>
      <c r="NXT63" s="227"/>
      <c r="NXU63" s="228"/>
      <c r="NXV63" s="228"/>
      <c r="NXW63" s="228"/>
      <c r="NXX63" s="228"/>
      <c r="NXY63" s="228"/>
      <c r="NXZ63" s="228"/>
      <c r="NYA63" s="226"/>
      <c r="NYB63" s="226"/>
      <c r="NYC63" s="224"/>
      <c r="NYD63" s="225"/>
      <c r="NYE63" s="226"/>
      <c r="NYF63" s="227"/>
      <c r="NYG63" s="228"/>
      <c r="NYH63" s="228"/>
      <c r="NYI63" s="228"/>
      <c r="NYJ63" s="228"/>
      <c r="NYK63" s="228"/>
      <c r="NYL63" s="228"/>
      <c r="NYM63" s="226"/>
      <c r="NYN63" s="226"/>
      <c r="NYO63" s="224"/>
      <c r="NYP63" s="225"/>
      <c r="NYQ63" s="226"/>
      <c r="NYR63" s="227"/>
      <c r="NYS63" s="228"/>
      <c r="NYT63" s="228"/>
      <c r="NYU63" s="228"/>
      <c r="NYV63" s="228"/>
      <c r="NYW63" s="228"/>
      <c r="NYX63" s="228"/>
      <c r="NYY63" s="226"/>
      <c r="NYZ63" s="226"/>
      <c r="NZA63" s="224"/>
      <c r="NZB63" s="225"/>
      <c r="NZC63" s="226"/>
      <c r="NZD63" s="227"/>
      <c r="NZE63" s="228"/>
      <c r="NZF63" s="228"/>
      <c r="NZG63" s="228"/>
      <c r="NZH63" s="228"/>
      <c r="NZI63" s="228"/>
      <c r="NZJ63" s="228"/>
      <c r="NZK63" s="226"/>
      <c r="NZL63" s="226"/>
      <c r="NZM63" s="224"/>
      <c r="NZN63" s="225"/>
      <c r="NZO63" s="226"/>
      <c r="NZP63" s="227"/>
      <c r="NZQ63" s="228"/>
      <c r="NZR63" s="228"/>
      <c r="NZS63" s="228"/>
      <c r="NZT63" s="228"/>
      <c r="NZU63" s="228"/>
      <c r="NZV63" s="228"/>
      <c r="NZW63" s="226"/>
      <c r="NZX63" s="226"/>
      <c r="NZY63" s="224"/>
      <c r="NZZ63" s="225"/>
      <c r="OAA63" s="226"/>
      <c r="OAB63" s="227"/>
      <c r="OAC63" s="228"/>
      <c r="OAD63" s="228"/>
      <c r="OAE63" s="228"/>
      <c r="OAF63" s="228"/>
      <c r="OAG63" s="228"/>
      <c r="OAH63" s="228"/>
      <c r="OAI63" s="226"/>
      <c r="OAJ63" s="226"/>
      <c r="OAK63" s="224"/>
      <c r="OAL63" s="225"/>
      <c r="OAM63" s="226"/>
      <c r="OAN63" s="227"/>
      <c r="OAO63" s="228"/>
      <c r="OAP63" s="228"/>
      <c r="OAQ63" s="228"/>
      <c r="OAR63" s="228"/>
      <c r="OAS63" s="228"/>
      <c r="OAT63" s="228"/>
      <c r="OAU63" s="226"/>
      <c r="OAV63" s="226"/>
      <c r="OAW63" s="224"/>
      <c r="OAX63" s="225"/>
      <c r="OAY63" s="226"/>
      <c r="OAZ63" s="227"/>
      <c r="OBA63" s="228"/>
      <c r="OBB63" s="228"/>
      <c r="OBC63" s="228"/>
      <c r="OBD63" s="228"/>
      <c r="OBE63" s="228"/>
      <c r="OBF63" s="228"/>
      <c r="OBG63" s="226"/>
      <c r="OBH63" s="226"/>
      <c r="OBI63" s="224"/>
      <c r="OBJ63" s="225"/>
      <c r="OBK63" s="226"/>
      <c r="OBL63" s="227"/>
      <c r="OBM63" s="228"/>
      <c r="OBN63" s="228"/>
      <c r="OBO63" s="228"/>
      <c r="OBP63" s="228"/>
      <c r="OBQ63" s="228"/>
      <c r="OBR63" s="228"/>
      <c r="OBS63" s="226"/>
      <c r="OBT63" s="226"/>
      <c r="OBU63" s="224"/>
      <c r="OBV63" s="225"/>
      <c r="OBW63" s="226"/>
      <c r="OBX63" s="227"/>
      <c r="OBY63" s="228"/>
      <c r="OBZ63" s="228"/>
      <c r="OCA63" s="228"/>
      <c r="OCB63" s="228"/>
      <c r="OCC63" s="228"/>
      <c r="OCD63" s="228"/>
      <c r="OCE63" s="226"/>
      <c r="OCF63" s="226"/>
      <c r="OCG63" s="224"/>
      <c r="OCH63" s="225"/>
      <c r="OCI63" s="226"/>
      <c r="OCJ63" s="227"/>
      <c r="OCK63" s="228"/>
      <c r="OCL63" s="228"/>
      <c r="OCM63" s="228"/>
      <c r="OCN63" s="228"/>
      <c r="OCO63" s="228"/>
      <c r="OCP63" s="228"/>
      <c r="OCQ63" s="226"/>
      <c r="OCR63" s="226"/>
      <c r="OCS63" s="224"/>
      <c r="OCT63" s="225"/>
      <c r="OCU63" s="226"/>
      <c r="OCV63" s="227"/>
      <c r="OCW63" s="228"/>
      <c r="OCX63" s="228"/>
      <c r="OCY63" s="228"/>
      <c r="OCZ63" s="228"/>
      <c r="ODA63" s="228"/>
      <c r="ODB63" s="228"/>
      <c r="ODC63" s="226"/>
      <c r="ODD63" s="226"/>
      <c r="ODE63" s="224"/>
      <c r="ODF63" s="225"/>
      <c r="ODG63" s="226"/>
      <c r="ODH63" s="227"/>
      <c r="ODI63" s="228"/>
      <c r="ODJ63" s="228"/>
      <c r="ODK63" s="228"/>
      <c r="ODL63" s="228"/>
      <c r="ODM63" s="228"/>
      <c r="ODN63" s="228"/>
      <c r="ODO63" s="226"/>
      <c r="ODP63" s="226"/>
      <c r="ODQ63" s="224"/>
      <c r="ODR63" s="225"/>
      <c r="ODS63" s="226"/>
      <c r="ODT63" s="227"/>
      <c r="ODU63" s="228"/>
      <c r="ODV63" s="228"/>
      <c r="ODW63" s="228"/>
      <c r="ODX63" s="228"/>
      <c r="ODY63" s="228"/>
      <c r="ODZ63" s="228"/>
      <c r="OEA63" s="226"/>
      <c r="OEB63" s="226"/>
      <c r="OEC63" s="224"/>
      <c r="OED63" s="225"/>
      <c r="OEE63" s="226"/>
      <c r="OEF63" s="227"/>
      <c r="OEG63" s="228"/>
      <c r="OEH63" s="228"/>
      <c r="OEI63" s="228"/>
      <c r="OEJ63" s="228"/>
      <c r="OEK63" s="228"/>
      <c r="OEL63" s="228"/>
      <c r="OEM63" s="226"/>
      <c r="OEN63" s="226"/>
      <c r="OEO63" s="224"/>
      <c r="OEP63" s="225"/>
      <c r="OEQ63" s="226"/>
      <c r="OER63" s="227"/>
      <c r="OES63" s="228"/>
      <c r="OET63" s="228"/>
      <c r="OEU63" s="228"/>
      <c r="OEV63" s="228"/>
      <c r="OEW63" s="228"/>
      <c r="OEX63" s="228"/>
      <c r="OEY63" s="226"/>
      <c r="OEZ63" s="226"/>
      <c r="OFA63" s="224"/>
      <c r="OFB63" s="225"/>
      <c r="OFC63" s="226"/>
      <c r="OFD63" s="227"/>
      <c r="OFE63" s="228"/>
      <c r="OFF63" s="228"/>
      <c r="OFG63" s="228"/>
      <c r="OFH63" s="228"/>
      <c r="OFI63" s="228"/>
      <c r="OFJ63" s="228"/>
      <c r="OFK63" s="226"/>
      <c r="OFL63" s="226"/>
      <c r="OFM63" s="224"/>
      <c r="OFN63" s="225"/>
      <c r="OFO63" s="226"/>
      <c r="OFP63" s="227"/>
      <c r="OFQ63" s="228"/>
      <c r="OFR63" s="228"/>
      <c r="OFS63" s="228"/>
      <c r="OFT63" s="228"/>
      <c r="OFU63" s="228"/>
      <c r="OFV63" s="228"/>
      <c r="OFW63" s="226"/>
      <c r="OFX63" s="226"/>
      <c r="OFY63" s="224"/>
      <c r="OFZ63" s="225"/>
      <c r="OGA63" s="226"/>
      <c r="OGB63" s="227"/>
      <c r="OGC63" s="228"/>
      <c r="OGD63" s="228"/>
      <c r="OGE63" s="228"/>
      <c r="OGF63" s="228"/>
      <c r="OGG63" s="228"/>
      <c r="OGH63" s="228"/>
      <c r="OGI63" s="226"/>
      <c r="OGJ63" s="226"/>
      <c r="OGK63" s="224"/>
      <c r="OGL63" s="225"/>
      <c r="OGM63" s="226"/>
      <c r="OGN63" s="227"/>
      <c r="OGO63" s="228"/>
      <c r="OGP63" s="228"/>
      <c r="OGQ63" s="228"/>
      <c r="OGR63" s="228"/>
      <c r="OGS63" s="228"/>
      <c r="OGT63" s="228"/>
      <c r="OGU63" s="226"/>
      <c r="OGV63" s="226"/>
      <c r="OGW63" s="224"/>
      <c r="OGX63" s="225"/>
      <c r="OGY63" s="226"/>
      <c r="OGZ63" s="227"/>
      <c r="OHA63" s="228"/>
      <c r="OHB63" s="228"/>
      <c r="OHC63" s="228"/>
      <c r="OHD63" s="228"/>
      <c r="OHE63" s="228"/>
      <c r="OHF63" s="228"/>
      <c r="OHG63" s="226"/>
      <c r="OHH63" s="226"/>
      <c r="OHI63" s="224"/>
      <c r="OHJ63" s="225"/>
      <c r="OHK63" s="226"/>
      <c r="OHL63" s="227"/>
      <c r="OHM63" s="228"/>
      <c r="OHN63" s="228"/>
      <c r="OHO63" s="228"/>
      <c r="OHP63" s="228"/>
      <c r="OHQ63" s="228"/>
      <c r="OHR63" s="228"/>
      <c r="OHS63" s="226"/>
      <c r="OHT63" s="226"/>
      <c r="OHU63" s="224"/>
      <c r="OHV63" s="225"/>
      <c r="OHW63" s="226"/>
      <c r="OHX63" s="227"/>
      <c r="OHY63" s="228"/>
      <c r="OHZ63" s="228"/>
      <c r="OIA63" s="228"/>
      <c r="OIB63" s="228"/>
      <c r="OIC63" s="228"/>
      <c r="OID63" s="228"/>
      <c r="OIE63" s="226"/>
      <c r="OIF63" s="226"/>
      <c r="OIG63" s="224"/>
      <c r="OIH63" s="225"/>
      <c r="OII63" s="226"/>
      <c r="OIJ63" s="227"/>
      <c r="OIK63" s="228"/>
      <c r="OIL63" s="228"/>
      <c r="OIM63" s="228"/>
      <c r="OIN63" s="228"/>
      <c r="OIO63" s="228"/>
      <c r="OIP63" s="228"/>
      <c r="OIQ63" s="226"/>
      <c r="OIR63" s="226"/>
      <c r="OIS63" s="224"/>
      <c r="OIT63" s="225"/>
      <c r="OIU63" s="226"/>
      <c r="OIV63" s="227"/>
      <c r="OIW63" s="228"/>
      <c r="OIX63" s="228"/>
      <c r="OIY63" s="228"/>
      <c r="OIZ63" s="228"/>
      <c r="OJA63" s="228"/>
      <c r="OJB63" s="228"/>
      <c r="OJC63" s="226"/>
      <c r="OJD63" s="226"/>
      <c r="OJE63" s="224"/>
      <c r="OJF63" s="225"/>
      <c r="OJG63" s="226"/>
      <c r="OJH63" s="227"/>
      <c r="OJI63" s="228"/>
      <c r="OJJ63" s="228"/>
      <c r="OJK63" s="228"/>
      <c r="OJL63" s="228"/>
      <c r="OJM63" s="228"/>
      <c r="OJN63" s="228"/>
      <c r="OJO63" s="226"/>
      <c r="OJP63" s="226"/>
      <c r="OJQ63" s="224"/>
      <c r="OJR63" s="225"/>
      <c r="OJS63" s="226"/>
      <c r="OJT63" s="227"/>
      <c r="OJU63" s="228"/>
      <c r="OJV63" s="228"/>
      <c r="OJW63" s="228"/>
      <c r="OJX63" s="228"/>
      <c r="OJY63" s="228"/>
      <c r="OJZ63" s="228"/>
      <c r="OKA63" s="226"/>
      <c r="OKB63" s="226"/>
      <c r="OKC63" s="224"/>
      <c r="OKD63" s="225"/>
      <c r="OKE63" s="226"/>
      <c r="OKF63" s="227"/>
      <c r="OKG63" s="228"/>
      <c r="OKH63" s="228"/>
      <c r="OKI63" s="228"/>
      <c r="OKJ63" s="228"/>
      <c r="OKK63" s="228"/>
      <c r="OKL63" s="228"/>
      <c r="OKM63" s="226"/>
      <c r="OKN63" s="226"/>
      <c r="OKO63" s="224"/>
      <c r="OKP63" s="225"/>
      <c r="OKQ63" s="226"/>
      <c r="OKR63" s="227"/>
      <c r="OKS63" s="228"/>
      <c r="OKT63" s="228"/>
      <c r="OKU63" s="228"/>
      <c r="OKV63" s="228"/>
      <c r="OKW63" s="228"/>
      <c r="OKX63" s="228"/>
      <c r="OKY63" s="226"/>
      <c r="OKZ63" s="226"/>
      <c r="OLA63" s="224"/>
      <c r="OLB63" s="225"/>
      <c r="OLC63" s="226"/>
      <c r="OLD63" s="227"/>
      <c r="OLE63" s="228"/>
      <c r="OLF63" s="228"/>
      <c r="OLG63" s="228"/>
      <c r="OLH63" s="228"/>
      <c r="OLI63" s="228"/>
      <c r="OLJ63" s="228"/>
      <c r="OLK63" s="226"/>
      <c r="OLL63" s="226"/>
      <c r="OLM63" s="224"/>
      <c r="OLN63" s="225"/>
      <c r="OLO63" s="226"/>
      <c r="OLP63" s="227"/>
      <c r="OLQ63" s="228"/>
      <c r="OLR63" s="228"/>
      <c r="OLS63" s="228"/>
      <c r="OLT63" s="228"/>
      <c r="OLU63" s="228"/>
      <c r="OLV63" s="228"/>
      <c r="OLW63" s="226"/>
      <c r="OLX63" s="226"/>
      <c r="OLY63" s="224"/>
      <c r="OLZ63" s="225"/>
      <c r="OMA63" s="226"/>
      <c r="OMB63" s="227"/>
      <c r="OMC63" s="228"/>
      <c r="OMD63" s="228"/>
      <c r="OME63" s="228"/>
      <c r="OMF63" s="228"/>
      <c r="OMG63" s="228"/>
      <c r="OMH63" s="228"/>
      <c r="OMI63" s="226"/>
      <c r="OMJ63" s="226"/>
      <c r="OMK63" s="224"/>
      <c r="OML63" s="225"/>
      <c r="OMM63" s="226"/>
      <c r="OMN63" s="227"/>
      <c r="OMO63" s="228"/>
      <c r="OMP63" s="228"/>
      <c r="OMQ63" s="228"/>
      <c r="OMR63" s="228"/>
      <c r="OMS63" s="228"/>
      <c r="OMT63" s="228"/>
      <c r="OMU63" s="226"/>
      <c r="OMV63" s="226"/>
      <c r="OMW63" s="224"/>
      <c r="OMX63" s="225"/>
      <c r="OMY63" s="226"/>
      <c r="OMZ63" s="227"/>
      <c r="ONA63" s="228"/>
      <c r="ONB63" s="228"/>
      <c r="ONC63" s="228"/>
      <c r="OND63" s="228"/>
      <c r="ONE63" s="228"/>
      <c r="ONF63" s="228"/>
      <c r="ONG63" s="226"/>
      <c r="ONH63" s="226"/>
      <c r="ONI63" s="224"/>
      <c r="ONJ63" s="225"/>
      <c r="ONK63" s="226"/>
      <c r="ONL63" s="227"/>
      <c r="ONM63" s="228"/>
      <c r="ONN63" s="228"/>
      <c r="ONO63" s="228"/>
      <c r="ONP63" s="228"/>
      <c r="ONQ63" s="228"/>
      <c r="ONR63" s="228"/>
      <c r="ONS63" s="226"/>
      <c r="ONT63" s="226"/>
      <c r="ONU63" s="224"/>
      <c r="ONV63" s="225"/>
      <c r="ONW63" s="226"/>
      <c r="ONX63" s="227"/>
      <c r="ONY63" s="228"/>
      <c r="ONZ63" s="228"/>
      <c r="OOA63" s="228"/>
      <c r="OOB63" s="228"/>
      <c r="OOC63" s="228"/>
      <c r="OOD63" s="228"/>
      <c r="OOE63" s="226"/>
      <c r="OOF63" s="226"/>
      <c r="OOG63" s="224"/>
      <c r="OOH63" s="225"/>
      <c r="OOI63" s="226"/>
      <c r="OOJ63" s="227"/>
      <c r="OOK63" s="228"/>
      <c r="OOL63" s="228"/>
      <c r="OOM63" s="228"/>
      <c r="OON63" s="228"/>
      <c r="OOO63" s="228"/>
      <c r="OOP63" s="228"/>
      <c r="OOQ63" s="226"/>
      <c r="OOR63" s="226"/>
      <c r="OOS63" s="224"/>
      <c r="OOT63" s="225"/>
      <c r="OOU63" s="226"/>
      <c r="OOV63" s="227"/>
      <c r="OOW63" s="228"/>
      <c r="OOX63" s="228"/>
      <c r="OOY63" s="228"/>
      <c r="OOZ63" s="228"/>
      <c r="OPA63" s="228"/>
      <c r="OPB63" s="228"/>
      <c r="OPC63" s="226"/>
      <c r="OPD63" s="226"/>
      <c r="OPE63" s="224"/>
      <c r="OPF63" s="225"/>
      <c r="OPG63" s="226"/>
      <c r="OPH63" s="227"/>
      <c r="OPI63" s="228"/>
      <c r="OPJ63" s="228"/>
      <c r="OPK63" s="228"/>
      <c r="OPL63" s="228"/>
      <c r="OPM63" s="228"/>
      <c r="OPN63" s="228"/>
      <c r="OPO63" s="226"/>
      <c r="OPP63" s="226"/>
      <c r="OPQ63" s="224"/>
      <c r="OPR63" s="225"/>
      <c r="OPS63" s="226"/>
      <c r="OPT63" s="227"/>
      <c r="OPU63" s="228"/>
      <c r="OPV63" s="228"/>
      <c r="OPW63" s="228"/>
      <c r="OPX63" s="228"/>
      <c r="OPY63" s="228"/>
      <c r="OPZ63" s="228"/>
      <c r="OQA63" s="226"/>
      <c r="OQB63" s="226"/>
      <c r="OQC63" s="224"/>
      <c r="OQD63" s="225"/>
      <c r="OQE63" s="226"/>
      <c r="OQF63" s="227"/>
      <c r="OQG63" s="228"/>
      <c r="OQH63" s="228"/>
      <c r="OQI63" s="228"/>
      <c r="OQJ63" s="228"/>
      <c r="OQK63" s="228"/>
      <c r="OQL63" s="228"/>
      <c r="OQM63" s="226"/>
      <c r="OQN63" s="226"/>
      <c r="OQO63" s="224"/>
      <c r="OQP63" s="225"/>
      <c r="OQQ63" s="226"/>
      <c r="OQR63" s="227"/>
      <c r="OQS63" s="228"/>
      <c r="OQT63" s="228"/>
      <c r="OQU63" s="228"/>
      <c r="OQV63" s="228"/>
      <c r="OQW63" s="228"/>
      <c r="OQX63" s="228"/>
      <c r="OQY63" s="226"/>
      <c r="OQZ63" s="226"/>
      <c r="ORA63" s="224"/>
      <c r="ORB63" s="225"/>
      <c r="ORC63" s="226"/>
      <c r="ORD63" s="227"/>
      <c r="ORE63" s="228"/>
      <c r="ORF63" s="228"/>
      <c r="ORG63" s="228"/>
      <c r="ORH63" s="228"/>
      <c r="ORI63" s="228"/>
      <c r="ORJ63" s="228"/>
      <c r="ORK63" s="226"/>
      <c r="ORL63" s="226"/>
      <c r="ORM63" s="224"/>
      <c r="ORN63" s="225"/>
      <c r="ORO63" s="226"/>
      <c r="ORP63" s="227"/>
      <c r="ORQ63" s="228"/>
      <c r="ORR63" s="228"/>
      <c r="ORS63" s="228"/>
      <c r="ORT63" s="228"/>
      <c r="ORU63" s="228"/>
      <c r="ORV63" s="228"/>
      <c r="ORW63" s="226"/>
      <c r="ORX63" s="226"/>
      <c r="ORY63" s="224"/>
      <c r="ORZ63" s="225"/>
      <c r="OSA63" s="226"/>
      <c r="OSB63" s="227"/>
      <c r="OSC63" s="228"/>
      <c r="OSD63" s="228"/>
      <c r="OSE63" s="228"/>
      <c r="OSF63" s="228"/>
      <c r="OSG63" s="228"/>
      <c r="OSH63" s="228"/>
      <c r="OSI63" s="226"/>
      <c r="OSJ63" s="226"/>
      <c r="OSK63" s="224"/>
      <c r="OSL63" s="225"/>
      <c r="OSM63" s="226"/>
      <c r="OSN63" s="227"/>
      <c r="OSO63" s="228"/>
      <c r="OSP63" s="228"/>
      <c r="OSQ63" s="228"/>
      <c r="OSR63" s="228"/>
      <c r="OSS63" s="228"/>
      <c r="OST63" s="228"/>
      <c r="OSU63" s="226"/>
      <c r="OSV63" s="226"/>
      <c r="OSW63" s="224"/>
      <c r="OSX63" s="225"/>
      <c r="OSY63" s="226"/>
      <c r="OSZ63" s="227"/>
      <c r="OTA63" s="228"/>
      <c r="OTB63" s="228"/>
      <c r="OTC63" s="228"/>
      <c r="OTD63" s="228"/>
      <c r="OTE63" s="228"/>
      <c r="OTF63" s="228"/>
      <c r="OTG63" s="226"/>
      <c r="OTH63" s="226"/>
      <c r="OTI63" s="224"/>
      <c r="OTJ63" s="225"/>
      <c r="OTK63" s="226"/>
      <c r="OTL63" s="227"/>
      <c r="OTM63" s="228"/>
      <c r="OTN63" s="228"/>
      <c r="OTO63" s="228"/>
      <c r="OTP63" s="228"/>
      <c r="OTQ63" s="228"/>
      <c r="OTR63" s="228"/>
      <c r="OTS63" s="226"/>
      <c r="OTT63" s="226"/>
      <c r="OTU63" s="224"/>
      <c r="OTV63" s="225"/>
      <c r="OTW63" s="226"/>
      <c r="OTX63" s="227"/>
      <c r="OTY63" s="228"/>
      <c r="OTZ63" s="228"/>
      <c r="OUA63" s="228"/>
      <c r="OUB63" s="228"/>
      <c r="OUC63" s="228"/>
      <c r="OUD63" s="228"/>
      <c r="OUE63" s="226"/>
      <c r="OUF63" s="226"/>
      <c r="OUG63" s="224"/>
      <c r="OUH63" s="225"/>
      <c r="OUI63" s="226"/>
      <c r="OUJ63" s="227"/>
      <c r="OUK63" s="228"/>
      <c r="OUL63" s="228"/>
      <c r="OUM63" s="228"/>
      <c r="OUN63" s="228"/>
      <c r="OUO63" s="228"/>
      <c r="OUP63" s="228"/>
      <c r="OUQ63" s="226"/>
      <c r="OUR63" s="226"/>
      <c r="OUS63" s="224"/>
      <c r="OUT63" s="225"/>
      <c r="OUU63" s="226"/>
      <c r="OUV63" s="227"/>
      <c r="OUW63" s="228"/>
      <c r="OUX63" s="228"/>
      <c r="OUY63" s="228"/>
      <c r="OUZ63" s="228"/>
      <c r="OVA63" s="228"/>
      <c r="OVB63" s="228"/>
      <c r="OVC63" s="226"/>
      <c r="OVD63" s="226"/>
      <c r="OVE63" s="224"/>
      <c r="OVF63" s="225"/>
      <c r="OVG63" s="226"/>
      <c r="OVH63" s="227"/>
      <c r="OVI63" s="228"/>
      <c r="OVJ63" s="228"/>
      <c r="OVK63" s="228"/>
      <c r="OVL63" s="228"/>
      <c r="OVM63" s="228"/>
      <c r="OVN63" s="228"/>
      <c r="OVO63" s="226"/>
      <c r="OVP63" s="226"/>
      <c r="OVQ63" s="224"/>
      <c r="OVR63" s="225"/>
      <c r="OVS63" s="226"/>
      <c r="OVT63" s="227"/>
      <c r="OVU63" s="228"/>
      <c r="OVV63" s="228"/>
      <c r="OVW63" s="228"/>
      <c r="OVX63" s="228"/>
      <c r="OVY63" s="228"/>
      <c r="OVZ63" s="228"/>
      <c r="OWA63" s="226"/>
      <c r="OWB63" s="226"/>
      <c r="OWC63" s="224"/>
      <c r="OWD63" s="225"/>
      <c r="OWE63" s="226"/>
      <c r="OWF63" s="227"/>
      <c r="OWG63" s="228"/>
      <c r="OWH63" s="228"/>
      <c r="OWI63" s="228"/>
      <c r="OWJ63" s="228"/>
      <c r="OWK63" s="228"/>
      <c r="OWL63" s="228"/>
      <c r="OWM63" s="226"/>
      <c r="OWN63" s="226"/>
      <c r="OWO63" s="224"/>
      <c r="OWP63" s="225"/>
      <c r="OWQ63" s="226"/>
      <c r="OWR63" s="227"/>
      <c r="OWS63" s="228"/>
      <c r="OWT63" s="228"/>
      <c r="OWU63" s="228"/>
      <c r="OWV63" s="228"/>
      <c r="OWW63" s="228"/>
      <c r="OWX63" s="228"/>
      <c r="OWY63" s="226"/>
      <c r="OWZ63" s="226"/>
      <c r="OXA63" s="224"/>
      <c r="OXB63" s="225"/>
      <c r="OXC63" s="226"/>
      <c r="OXD63" s="227"/>
      <c r="OXE63" s="228"/>
      <c r="OXF63" s="228"/>
      <c r="OXG63" s="228"/>
      <c r="OXH63" s="228"/>
      <c r="OXI63" s="228"/>
      <c r="OXJ63" s="228"/>
      <c r="OXK63" s="226"/>
      <c r="OXL63" s="226"/>
      <c r="OXM63" s="224"/>
      <c r="OXN63" s="225"/>
      <c r="OXO63" s="226"/>
      <c r="OXP63" s="227"/>
      <c r="OXQ63" s="228"/>
      <c r="OXR63" s="228"/>
      <c r="OXS63" s="228"/>
      <c r="OXT63" s="228"/>
      <c r="OXU63" s="228"/>
      <c r="OXV63" s="228"/>
      <c r="OXW63" s="226"/>
      <c r="OXX63" s="226"/>
      <c r="OXY63" s="224"/>
      <c r="OXZ63" s="225"/>
      <c r="OYA63" s="226"/>
      <c r="OYB63" s="227"/>
      <c r="OYC63" s="228"/>
      <c r="OYD63" s="228"/>
      <c r="OYE63" s="228"/>
      <c r="OYF63" s="228"/>
      <c r="OYG63" s="228"/>
      <c r="OYH63" s="228"/>
      <c r="OYI63" s="226"/>
      <c r="OYJ63" s="226"/>
      <c r="OYK63" s="224"/>
      <c r="OYL63" s="225"/>
      <c r="OYM63" s="226"/>
      <c r="OYN63" s="227"/>
      <c r="OYO63" s="228"/>
      <c r="OYP63" s="228"/>
      <c r="OYQ63" s="228"/>
      <c r="OYR63" s="228"/>
      <c r="OYS63" s="228"/>
      <c r="OYT63" s="228"/>
      <c r="OYU63" s="226"/>
      <c r="OYV63" s="226"/>
      <c r="OYW63" s="224"/>
      <c r="OYX63" s="225"/>
      <c r="OYY63" s="226"/>
      <c r="OYZ63" s="227"/>
      <c r="OZA63" s="228"/>
      <c r="OZB63" s="228"/>
      <c r="OZC63" s="228"/>
      <c r="OZD63" s="228"/>
      <c r="OZE63" s="228"/>
      <c r="OZF63" s="228"/>
      <c r="OZG63" s="226"/>
      <c r="OZH63" s="226"/>
      <c r="OZI63" s="224"/>
      <c r="OZJ63" s="225"/>
      <c r="OZK63" s="226"/>
      <c r="OZL63" s="227"/>
      <c r="OZM63" s="228"/>
      <c r="OZN63" s="228"/>
      <c r="OZO63" s="228"/>
      <c r="OZP63" s="228"/>
      <c r="OZQ63" s="228"/>
      <c r="OZR63" s="228"/>
      <c r="OZS63" s="226"/>
      <c r="OZT63" s="226"/>
      <c r="OZU63" s="224"/>
      <c r="OZV63" s="225"/>
      <c r="OZW63" s="226"/>
      <c r="OZX63" s="227"/>
      <c r="OZY63" s="228"/>
      <c r="OZZ63" s="228"/>
      <c r="PAA63" s="228"/>
      <c r="PAB63" s="228"/>
      <c r="PAC63" s="228"/>
      <c r="PAD63" s="228"/>
      <c r="PAE63" s="226"/>
      <c r="PAF63" s="226"/>
      <c r="PAG63" s="224"/>
      <c r="PAH63" s="225"/>
      <c r="PAI63" s="226"/>
      <c r="PAJ63" s="227"/>
      <c r="PAK63" s="228"/>
      <c r="PAL63" s="228"/>
      <c r="PAM63" s="228"/>
      <c r="PAN63" s="228"/>
      <c r="PAO63" s="228"/>
      <c r="PAP63" s="228"/>
      <c r="PAQ63" s="226"/>
      <c r="PAR63" s="226"/>
      <c r="PAS63" s="224"/>
      <c r="PAT63" s="225"/>
      <c r="PAU63" s="226"/>
      <c r="PAV63" s="227"/>
      <c r="PAW63" s="228"/>
      <c r="PAX63" s="228"/>
      <c r="PAY63" s="228"/>
      <c r="PAZ63" s="228"/>
      <c r="PBA63" s="228"/>
      <c r="PBB63" s="228"/>
      <c r="PBC63" s="226"/>
      <c r="PBD63" s="226"/>
      <c r="PBE63" s="224"/>
      <c r="PBF63" s="225"/>
      <c r="PBG63" s="226"/>
      <c r="PBH63" s="227"/>
      <c r="PBI63" s="228"/>
      <c r="PBJ63" s="228"/>
      <c r="PBK63" s="228"/>
      <c r="PBL63" s="228"/>
      <c r="PBM63" s="228"/>
      <c r="PBN63" s="228"/>
      <c r="PBO63" s="226"/>
      <c r="PBP63" s="226"/>
      <c r="PBQ63" s="224"/>
      <c r="PBR63" s="225"/>
      <c r="PBS63" s="226"/>
      <c r="PBT63" s="227"/>
      <c r="PBU63" s="228"/>
      <c r="PBV63" s="228"/>
      <c r="PBW63" s="228"/>
      <c r="PBX63" s="228"/>
      <c r="PBY63" s="228"/>
      <c r="PBZ63" s="228"/>
      <c r="PCA63" s="226"/>
      <c r="PCB63" s="226"/>
      <c r="PCC63" s="224"/>
      <c r="PCD63" s="225"/>
      <c r="PCE63" s="226"/>
      <c r="PCF63" s="227"/>
      <c r="PCG63" s="228"/>
      <c r="PCH63" s="228"/>
      <c r="PCI63" s="228"/>
      <c r="PCJ63" s="228"/>
      <c r="PCK63" s="228"/>
      <c r="PCL63" s="228"/>
      <c r="PCM63" s="226"/>
      <c r="PCN63" s="226"/>
      <c r="PCO63" s="224"/>
      <c r="PCP63" s="225"/>
      <c r="PCQ63" s="226"/>
      <c r="PCR63" s="227"/>
      <c r="PCS63" s="228"/>
      <c r="PCT63" s="228"/>
      <c r="PCU63" s="228"/>
      <c r="PCV63" s="228"/>
      <c r="PCW63" s="228"/>
      <c r="PCX63" s="228"/>
      <c r="PCY63" s="226"/>
      <c r="PCZ63" s="226"/>
      <c r="PDA63" s="224"/>
      <c r="PDB63" s="225"/>
      <c r="PDC63" s="226"/>
      <c r="PDD63" s="227"/>
      <c r="PDE63" s="228"/>
      <c r="PDF63" s="228"/>
      <c r="PDG63" s="228"/>
      <c r="PDH63" s="228"/>
      <c r="PDI63" s="228"/>
      <c r="PDJ63" s="228"/>
      <c r="PDK63" s="226"/>
      <c r="PDL63" s="226"/>
      <c r="PDM63" s="224"/>
      <c r="PDN63" s="225"/>
      <c r="PDO63" s="226"/>
      <c r="PDP63" s="227"/>
      <c r="PDQ63" s="228"/>
      <c r="PDR63" s="228"/>
      <c r="PDS63" s="228"/>
      <c r="PDT63" s="228"/>
      <c r="PDU63" s="228"/>
      <c r="PDV63" s="228"/>
      <c r="PDW63" s="226"/>
      <c r="PDX63" s="226"/>
      <c r="PDY63" s="224"/>
      <c r="PDZ63" s="225"/>
      <c r="PEA63" s="226"/>
      <c r="PEB63" s="227"/>
      <c r="PEC63" s="228"/>
      <c r="PED63" s="228"/>
      <c r="PEE63" s="228"/>
      <c r="PEF63" s="228"/>
      <c r="PEG63" s="228"/>
      <c r="PEH63" s="228"/>
      <c r="PEI63" s="226"/>
      <c r="PEJ63" s="226"/>
      <c r="PEK63" s="224"/>
      <c r="PEL63" s="225"/>
      <c r="PEM63" s="226"/>
      <c r="PEN63" s="227"/>
      <c r="PEO63" s="228"/>
      <c r="PEP63" s="228"/>
      <c r="PEQ63" s="228"/>
      <c r="PER63" s="228"/>
      <c r="PES63" s="228"/>
      <c r="PET63" s="228"/>
      <c r="PEU63" s="226"/>
      <c r="PEV63" s="226"/>
      <c r="PEW63" s="224"/>
      <c r="PEX63" s="225"/>
      <c r="PEY63" s="226"/>
      <c r="PEZ63" s="227"/>
      <c r="PFA63" s="228"/>
      <c r="PFB63" s="228"/>
      <c r="PFC63" s="228"/>
      <c r="PFD63" s="228"/>
      <c r="PFE63" s="228"/>
      <c r="PFF63" s="228"/>
      <c r="PFG63" s="226"/>
      <c r="PFH63" s="226"/>
      <c r="PFI63" s="224"/>
      <c r="PFJ63" s="225"/>
      <c r="PFK63" s="226"/>
      <c r="PFL63" s="227"/>
      <c r="PFM63" s="228"/>
      <c r="PFN63" s="228"/>
      <c r="PFO63" s="228"/>
      <c r="PFP63" s="228"/>
      <c r="PFQ63" s="228"/>
      <c r="PFR63" s="228"/>
      <c r="PFS63" s="226"/>
      <c r="PFT63" s="226"/>
      <c r="PFU63" s="224"/>
      <c r="PFV63" s="225"/>
      <c r="PFW63" s="226"/>
      <c r="PFX63" s="227"/>
      <c r="PFY63" s="228"/>
      <c r="PFZ63" s="228"/>
      <c r="PGA63" s="228"/>
      <c r="PGB63" s="228"/>
      <c r="PGC63" s="228"/>
      <c r="PGD63" s="228"/>
      <c r="PGE63" s="226"/>
      <c r="PGF63" s="226"/>
      <c r="PGG63" s="224"/>
      <c r="PGH63" s="225"/>
      <c r="PGI63" s="226"/>
      <c r="PGJ63" s="227"/>
      <c r="PGK63" s="228"/>
      <c r="PGL63" s="228"/>
      <c r="PGM63" s="228"/>
      <c r="PGN63" s="228"/>
      <c r="PGO63" s="228"/>
      <c r="PGP63" s="228"/>
      <c r="PGQ63" s="226"/>
      <c r="PGR63" s="226"/>
      <c r="PGS63" s="224"/>
      <c r="PGT63" s="225"/>
      <c r="PGU63" s="226"/>
      <c r="PGV63" s="227"/>
      <c r="PGW63" s="228"/>
      <c r="PGX63" s="228"/>
      <c r="PGY63" s="228"/>
      <c r="PGZ63" s="228"/>
      <c r="PHA63" s="228"/>
      <c r="PHB63" s="228"/>
      <c r="PHC63" s="226"/>
      <c r="PHD63" s="226"/>
      <c r="PHE63" s="224"/>
      <c r="PHF63" s="225"/>
      <c r="PHG63" s="226"/>
      <c r="PHH63" s="227"/>
      <c r="PHI63" s="228"/>
      <c r="PHJ63" s="228"/>
      <c r="PHK63" s="228"/>
      <c r="PHL63" s="228"/>
      <c r="PHM63" s="228"/>
      <c r="PHN63" s="228"/>
      <c r="PHO63" s="226"/>
      <c r="PHP63" s="226"/>
      <c r="PHQ63" s="224"/>
      <c r="PHR63" s="225"/>
      <c r="PHS63" s="226"/>
      <c r="PHT63" s="227"/>
      <c r="PHU63" s="228"/>
      <c r="PHV63" s="228"/>
      <c r="PHW63" s="228"/>
      <c r="PHX63" s="228"/>
      <c r="PHY63" s="228"/>
      <c r="PHZ63" s="228"/>
      <c r="PIA63" s="226"/>
      <c r="PIB63" s="226"/>
      <c r="PIC63" s="224"/>
      <c r="PID63" s="225"/>
      <c r="PIE63" s="226"/>
      <c r="PIF63" s="227"/>
      <c r="PIG63" s="228"/>
      <c r="PIH63" s="228"/>
      <c r="PII63" s="228"/>
      <c r="PIJ63" s="228"/>
      <c r="PIK63" s="228"/>
      <c r="PIL63" s="228"/>
      <c r="PIM63" s="226"/>
      <c r="PIN63" s="226"/>
      <c r="PIO63" s="224"/>
      <c r="PIP63" s="225"/>
      <c r="PIQ63" s="226"/>
      <c r="PIR63" s="227"/>
      <c r="PIS63" s="228"/>
      <c r="PIT63" s="228"/>
      <c r="PIU63" s="228"/>
      <c r="PIV63" s="228"/>
      <c r="PIW63" s="228"/>
      <c r="PIX63" s="228"/>
      <c r="PIY63" s="226"/>
      <c r="PIZ63" s="226"/>
      <c r="PJA63" s="224"/>
      <c r="PJB63" s="225"/>
      <c r="PJC63" s="226"/>
      <c r="PJD63" s="227"/>
      <c r="PJE63" s="228"/>
      <c r="PJF63" s="228"/>
      <c r="PJG63" s="228"/>
      <c r="PJH63" s="228"/>
      <c r="PJI63" s="228"/>
      <c r="PJJ63" s="228"/>
      <c r="PJK63" s="226"/>
      <c r="PJL63" s="226"/>
      <c r="PJM63" s="224"/>
      <c r="PJN63" s="225"/>
      <c r="PJO63" s="226"/>
      <c r="PJP63" s="227"/>
      <c r="PJQ63" s="228"/>
      <c r="PJR63" s="228"/>
      <c r="PJS63" s="228"/>
      <c r="PJT63" s="228"/>
      <c r="PJU63" s="228"/>
      <c r="PJV63" s="228"/>
      <c r="PJW63" s="226"/>
      <c r="PJX63" s="226"/>
      <c r="PJY63" s="224"/>
      <c r="PJZ63" s="225"/>
      <c r="PKA63" s="226"/>
      <c r="PKB63" s="227"/>
      <c r="PKC63" s="228"/>
      <c r="PKD63" s="228"/>
      <c r="PKE63" s="228"/>
      <c r="PKF63" s="228"/>
      <c r="PKG63" s="228"/>
      <c r="PKH63" s="228"/>
      <c r="PKI63" s="226"/>
      <c r="PKJ63" s="226"/>
      <c r="PKK63" s="224"/>
      <c r="PKL63" s="225"/>
      <c r="PKM63" s="226"/>
      <c r="PKN63" s="227"/>
      <c r="PKO63" s="228"/>
      <c r="PKP63" s="228"/>
      <c r="PKQ63" s="228"/>
      <c r="PKR63" s="228"/>
      <c r="PKS63" s="228"/>
      <c r="PKT63" s="228"/>
      <c r="PKU63" s="226"/>
      <c r="PKV63" s="226"/>
      <c r="PKW63" s="224"/>
      <c r="PKX63" s="225"/>
      <c r="PKY63" s="226"/>
      <c r="PKZ63" s="227"/>
      <c r="PLA63" s="228"/>
      <c r="PLB63" s="228"/>
      <c r="PLC63" s="228"/>
      <c r="PLD63" s="228"/>
      <c r="PLE63" s="228"/>
      <c r="PLF63" s="228"/>
      <c r="PLG63" s="226"/>
      <c r="PLH63" s="226"/>
      <c r="PLI63" s="224"/>
      <c r="PLJ63" s="225"/>
      <c r="PLK63" s="226"/>
      <c r="PLL63" s="227"/>
      <c r="PLM63" s="228"/>
      <c r="PLN63" s="228"/>
      <c r="PLO63" s="228"/>
      <c r="PLP63" s="228"/>
      <c r="PLQ63" s="228"/>
      <c r="PLR63" s="228"/>
      <c r="PLS63" s="226"/>
      <c r="PLT63" s="226"/>
      <c r="PLU63" s="224"/>
      <c r="PLV63" s="225"/>
      <c r="PLW63" s="226"/>
      <c r="PLX63" s="227"/>
      <c r="PLY63" s="228"/>
      <c r="PLZ63" s="228"/>
      <c r="PMA63" s="228"/>
      <c r="PMB63" s="228"/>
      <c r="PMC63" s="228"/>
      <c r="PMD63" s="228"/>
      <c r="PME63" s="226"/>
      <c r="PMF63" s="226"/>
      <c r="PMG63" s="224"/>
      <c r="PMH63" s="225"/>
      <c r="PMI63" s="226"/>
      <c r="PMJ63" s="227"/>
      <c r="PMK63" s="228"/>
      <c r="PML63" s="228"/>
      <c r="PMM63" s="228"/>
      <c r="PMN63" s="228"/>
      <c r="PMO63" s="228"/>
      <c r="PMP63" s="228"/>
      <c r="PMQ63" s="226"/>
      <c r="PMR63" s="226"/>
      <c r="PMS63" s="224"/>
      <c r="PMT63" s="225"/>
      <c r="PMU63" s="226"/>
      <c r="PMV63" s="227"/>
      <c r="PMW63" s="228"/>
      <c r="PMX63" s="228"/>
      <c r="PMY63" s="228"/>
      <c r="PMZ63" s="228"/>
      <c r="PNA63" s="228"/>
      <c r="PNB63" s="228"/>
      <c r="PNC63" s="226"/>
      <c r="PND63" s="226"/>
      <c r="PNE63" s="224"/>
      <c r="PNF63" s="225"/>
      <c r="PNG63" s="226"/>
      <c r="PNH63" s="227"/>
      <c r="PNI63" s="228"/>
      <c r="PNJ63" s="228"/>
      <c r="PNK63" s="228"/>
      <c r="PNL63" s="228"/>
      <c r="PNM63" s="228"/>
      <c r="PNN63" s="228"/>
      <c r="PNO63" s="226"/>
      <c r="PNP63" s="226"/>
      <c r="PNQ63" s="224"/>
      <c r="PNR63" s="225"/>
      <c r="PNS63" s="226"/>
      <c r="PNT63" s="227"/>
      <c r="PNU63" s="228"/>
      <c r="PNV63" s="228"/>
      <c r="PNW63" s="228"/>
      <c r="PNX63" s="228"/>
      <c r="PNY63" s="228"/>
      <c r="PNZ63" s="228"/>
      <c r="POA63" s="226"/>
      <c r="POB63" s="226"/>
      <c r="POC63" s="224"/>
      <c r="POD63" s="225"/>
      <c r="POE63" s="226"/>
      <c r="POF63" s="227"/>
      <c r="POG63" s="228"/>
      <c r="POH63" s="228"/>
      <c r="POI63" s="228"/>
      <c r="POJ63" s="228"/>
      <c r="POK63" s="228"/>
      <c r="POL63" s="228"/>
      <c r="POM63" s="226"/>
      <c r="PON63" s="226"/>
      <c r="POO63" s="224"/>
      <c r="POP63" s="225"/>
      <c r="POQ63" s="226"/>
      <c r="POR63" s="227"/>
      <c r="POS63" s="228"/>
      <c r="POT63" s="228"/>
      <c r="POU63" s="228"/>
      <c r="POV63" s="228"/>
      <c r="POW63" s="228"/>
      <c r="POX63" s="228"/>
      <c r="POY63" s="226"/>
      <c r="POZ63" s="226"/>
      <c r="PPA63" s="224"/>
      <c r="PPB63" s="225"/>
      <c r="PPC63" s="226"/>
      <c r="PPD63" s="227"/>
      <c r="PPE63" s="228"/>
      <c r="PPF63" s="228"/>
      <c r="PPG63" s="228"/>
      <c r="PPH63" s="228"/>
      <c r="PPI63" s="228"/>
      <c r="PPJ63" s="228"/>
      <c r="PPK63" s="226"/>
      <c r="PPL63" s="226"/>
      <c r="PPM63" s="224"/>
      <c r="PPN63" s="225"/>
      <c r="PPO63" s="226"/>
      <c r="PPP63" s="227"/>
      <c r="PPQ63" s="228"/>
      <c r="PPR63" s="228"/>
      <c r="PPS63" s="228"/>
      <c r="PPT63" s="228"/>
      <c r="PPU63" s="228"/>
      <c r="PPV63" s="228"/>
      <c r="PPW63" s="226"/>
      <c r="PPX63" s="226"/>
      <c r="PPY63" s="224"/>
      <c r="PPZ63" s="225"/>
      <c r="PQA63" s="226"/>
      <c r="PQB63" s="227"/>
      <c r="PQC63" s="228"/>
      <c r="PQD63" s="228"/>
      <c r="PQE63" s="228"/>
      <c r="PQF63" s="228"/>
      <c r="PQG63" s="228"/>
      <c r="PQH63" s="228"/>
      <c r="PQI63" s="226"/>
      <c r="PQJ63" s="226"/>
      <c r="PQK63" s="224"/>
      <c r="PQL63" s="225"/>
      <c r="PQM63" s="226"/>
      <c r="PQN63" s="227"/>
      <c r="PQO63" s="228"/>
      <c r="PQP63" s="228"/>
      <c r="PQQ63" s="228"/>
      <c r="PQR63" s="228"/>
      <c r="PQS63" s="228"/>
      <c r="PQT63" s="228"/>
      <c r="PQU63" s="226"/>
      <c r="PQV63" s="226"/>
      <c r="PQW63" s="224"/>
      <c r="PQX63" s="225"/>
      <c r="PQY63" s="226"/>
      <c r="PQZ63" s="227"/>
      <c r="PRA63" s="228"/>
      <c r="PRB63" s="228"/>
      <c r="PRC63" s="228"/>
      <c r="PRD63" s="228"/>
      <c r="PRE63" s="228"/>
      <c r="PRF63" s="228"/>
      <c r="PRG63" s="226"/>
      <c r="PRH63" s="226"/>
      <c r="PRI63" s="224"/>
      <c r="PRJ63" s="225"/>
      <c r="PRK63" s="226"/>
      <c r="PRL63" s="227"/>
      <c r="PRM63" s="228"/>
      <c r="PRN63" s="228"/>
      <c r="PRO63" s="228"/>
      <c r="PRP63" s="228"/>
      <c r="PRQ63" s="228"/>
      <c r="PRR63" s="228"/>
      <c r="PRS63" s="226"/>
      <c r="PRT63" s="226"/>
      <c r="PRU63" s="224"/>
      <c r="PRV63" s="225"/>
      <c r="PRW63" s="226"/>
      <c r="PRX63" s="227"/>
      <c r="PRY63" s="228"/>
      <c r="PRZ63" s="228"/>
      <c r="PSA63" s="228"/>
      <c r="PSB63" s="228"/>
      <c r="PSC63" s="228"/>
      <c r="PSD63" s="228"/>
      <c r="PSE63" s="226"/>
      <c r="PSF63" s="226"/>
      <c r="PSG63" s="224"/>
      <c r="PSH63" s="225"/>
      <c r="PSI63" s="226"/>
      <c r="PSJ63" s="227"/>
      <c r="PSK63" s="228"/>
      <c r="PSL63" s="228"/>
      <c r="PSM63" s="228"/>
      <c r="PSN63" s="228"/>
      <c r="PSO63" s="228"/>
      <c r="PSP63" s="228"/>
      <c r="PSQ63" s="226"/>
      <c r="PSR63" s="226"/>
      <c r="PSS63" s="224"/>
      <c r="PST63" s="225"/>
      <c r="PSU63" s="226"/>
      <c r="PSV63" s="227"/>
      <c r="PSW63" s="228"/>
      <c r="PSX63" s="228"/>
      <c r="PSY63" s="228"/>
      <c r="PSZ63" s="228"/>
      <c r="PTA63" s="228"/>
      <c r="PTB63" s="228"/>
      <c r="PTC63" s="226"/>
      <c r="PTD63" s="226"/>
      <c r="PTE63" s="224"/>
      <c r="PTF63" s="225"/>
      <c r="PTG63" s="226"/>
      <c r="PTH63" s="227"/>
      <c r="PTI63" s="228"/>
      <c r="PTJ63" s="228"/>
      <c r="PTK63" s="228"/>
      <c r="PTL63" s="228"/>
      <c r="PTM63" s="228"/>
      <c r="PTN63" s="228"/>
      <c r="PTO63" s="226"/>
      <c r="PTP63" s="226"/>
      <c r="PTQ63" s="224"/>
      <c r="PTR63" s="225"/>
      <c r="PTS63" s="226"/>
      <c r="PTT63" s="227"/>
      <c r="PTU63" s="228"/>
      <c r="PTV63" s="228"/>
      <c r="PTW63" s="228"/>
      <c r="PTX63" s="228"/>
      <c r="PTY63" s="228"/>
      <c r="PTZ63" s="228"/>
      <c r="PUA63" s="226"/>
      <c r="PUB63" s="226"/>
      <c r="PUC63" s="224"/>
      <c r="PUD63" s="225"/>
      <c r="PUE63" s="226"/>
      <c r="PUF63" s="227"/>
      <c r="PUG63" s="228"/>
      <c r="PUH63" s="228"/>
      <c r="PUI63" s="228"/>
      <c r="PUJ63" s="228"/>
      <c r="PUK63" s="228"/>
      <c r="PUL63" s="228"/>
      <c r="PUM63" s="226"/>
      <c r="PUN63" s="226"/>
      <c r="PUO63" s="224"/>
      <c r="PUP63" s="225"/>
      <c r="PUQ63" s="226"/>
      <c r="PUR63" s="227"/>
      <c r="PUS63" s="228"/>
      <c r="PUT63" s="228"/>
      <c r="PUU63" s="228"/>
      <c r="PUV63" s="228"/>
      <c r="PUW63" s="228"/>
      <c r="PUX63" s="228"/>
      <c r="PUY63" s="226"/>
      <c r="PUZ63" s="226"/>
      <c r="PVA63" s="224"/>
      <c r="PVB63" s="225"/>
      <c r="PVC63" s="226"/>
      <c r="PVD63" s="227"/>
      <c r="PVE63" s="228"/>
      <c r="PVF63" s="228"/>
      <c r="PVG63" s="228"/>
      <c r="PVH63" s="228"/>
      <c r="PVI63" s="228"/>
      <c r="PVJ63" s="228"/>
      <c r="PVK63" s="226"/>
      <c r="PVL63" s="226"/>
      <c r="PVM63" s="224"/>
      <c r="PVN63" s="225"/>
      <c r="PVO63" s="226"/>
      <c r="PVP63" s="227"/>
      <c r="PVQ63" s="228"/>
      <c r="PVR63" s="228"/>
      <c r="PVS63" s="228"/>
      <c r="PVT63" s="228"/>
      <c r="PVU63" s="228"/>
      <c r="PVV63" s="228"/>
      <c r="PVW63" s="226"/>
      <c r="PVX63" s="226"/>
      <c r="PVY63" s="224"/>
      <c r="PVZ63" s="225"/>
      <c r="PWA63" s="226"/>
      <c r="PWB63" s="227"/>
      <c r="PWC63" s="228"/>
      <c r="PWD63" s="228"/>
      <c r="PWE63" s="228"/>
      <c r="PWF63" s="228"/>
      <c r="PWG63" s="228"/>
      <c r="PWH63" s="228"/>
      <c r="PWI63" s="226"/>
      <c r="PWJ63" s="226"/>
      <c r="PWK63" s="224"/>
      <c r="PWL63" s="225"/>
      <c r="PWM63" s="226"/>
      <c r="PWN63" s="227"/>
      <c r="PWO63" s="228"/>
      <c r="PWP63" s="228"/>
      <c r="PWQ63" s="228"/>
      <c r="PWR63" s="228"/>
      <c r="PWS63" s="228"/>
      <c r="PWT63" s="228"/>
      <c r="PWU63" s="226"/>
      <c r="PWV63" s="226"/>
      <c r="PWW63" s="224"/>
      <c r="PWX63" s="225"/>
      <c r="PWY63" s="226"/>
      <c r="PWZ63" s="227"/>
      <c r="PXA63" s="228"/>
      <c r="PXB63" s="228"/>
      <c r="PXC63" s="228"/>
      <c r="PXD63" s="228"/>
      <c r="PXE63" s="228"/>
      <c r="PXF63" s="228"/>
      <c r="PXG63" s="226"/>
      <c r="PXH63" s="226"/>
      <c r="PXI63" s="224"/>
      <c r="PXJ63" s="225"/>
      <c r="PXK63" s="226"/>
      <c r="PXL63" s="227"/>
      <c r="PXM63" s="228"/>
      <c r="PXN63" s="228"/>
      <c r="PXO63" s="228"/>
      <c r="PXP63" s="228"/>
      <c r="PXQ63" s="228"/>
      <c r="PXR63" s="228"/>
      <c r="PXS63" s="226"/>
      <c r="PXT63" s="226"/>
      <c r="PXU63" s="224"/>
      <c r="PXV63" s="225"/>
      <c r="PXW63" s="226"/>
      <c r="PXX63" s="227"/>
      <c r="PXY63" s="228"/>
      <c r="PXZ63" s="228"/>
      <c r="PYA63" s="228"/>
      <c r="PYB63" s="228"/>
      <c r="PYC63" s="228"/>
      <c r="PYD63" s="228"/>
      <c r="PYE63" s="226"/>
      <c r="PYF63" s="226"/>
      <c r="PYG63" s="224"/>
      <c r="PYH63" s="225"/>
      <c r="PYI63" s="226"/>
      <c r="PYJ63" s="227"/>
      <c r="PYK63" s="228"/>
      <c r="PYL63" s="228"/>
      <c r="PYM63" s="228"/>
      <c r="PYN63" s="228"/>
      <c r="PYO63" s="228"/>
      <c r="PYP63" s="228"/>
      <c r="PYQ63" s="226"/>
      <c r="PYR63" s="226"/>
      <c r="PYS63" s="224"/>
      <c r="PYT63" s="225"/>
      <c r="PYU63" s="226"/>
      <c r="PYV63" s="227"/>
      <c r="PYW63" s="228"/>
      <c r="PYX63" s="228"/>
      <c r="PYY63" s="228"/>
      <c r="PYZ63" s="228"/>
      <c r="PZA63" s="228"/>
      <c r="PZB63" s="228"/>
      <c r="PZC63" s="226"/>
      <c r="PZD63" s="226"/>
      <c r="PZE63" s="224"/>
      <c r="PZF63" s="225"/>
      <c r="PZG63" s="226"/>
      <c r="PZH63" s="227"/>
      <c r="PZI63" s="228"/>
      <c r="PZJ63" s="228"/>
      <c r="PZK63" s="228"/>
      <c r="PZL63" s="228"/>
      <c r="PZM63" s="228"/>
      <c r="PZN63" s="228"/>
      <c r="PZO63" s="226"/>
      <c r="PZP63" s="226"/>
      <c r="PZQ63" s="224"/>
      <c r="PZR63" s="225"/>
      <c r="PZS63" s="226"/>
      <c r="PZT63" s="227"/>
      <c r="PZU63" s="228"/>
      <c r="PZV63" s="228"/>
      <c r="PZW63" s="228"/>
      <c r="PZX63" s="228"/>
      <c r="PZY63" s="228"/>
      <c r="PZZ63" s="228"/>
      <c r="QAA63" s="226"/>
      <c r="QAB63" s="226"/>
      <c r="QAC63" s="224"/>
      <c r="QAD63" s="225"/>
      <c r="QAE63" s="226"/>
      <c r="QAF63" s="227"/>
      <c r="QAG63" s="228"/>
      <c r="QAH63" s="228"/>
      <c r="QAI63" s="228"/>
      <c r="QAJ63" s="228"/>
      <c r="QAK63" s="228"/>
      <c r="QAL63" s="228"/>
      <c r="QAM63" s="226"/>
      <c r="QAN63" s="226"/>
      <c r="QAO63" s="224"/>
      <c r="QAP63" s="225"/>
      <c r="QAQ63" s="226"/>
      <c r="QAR63" s="227"/>
      <c r="QAS63" s="228"/>
      <c r="QAT63" s="228"/>
      <c r="QAU63" s="228"/>
      <c r="QAV63" s="228"/>
      <c r="QAW63" s="228"/>
      <c r="QAX63" s="228"/>
      <c r="QAY63" s="226"/>
      <c r="QAZ63" s="226"/>
      <c r="QBA63" s="224"/>
      <c r="QBB63" s="225"/>
      <c r="QBC63" s="226"/>
      <c r="QBD63" s="227"/>
      <c r="QBE63" s="228"/>
      <c r="QBF63" s="228"/>
      <c r="QBG63" s="228"/>
      <c r="QBH63" s="228"/>
      <c r="QBI63" s="228"/>
      <c r="QBJ63" s="228"/>
      <c r="QBK63" s="226"/>
      <c r="QBL63" s="226"/>
      <c r="QBM63" s="224"/>
      <c r="QBN63" s="225"/>
      <c r="QBO63" s="226"/>
      <c r="QBP63" s="227"/>
      <c r="QBQ63" s="228"/>
      <c r="QBR63" s="228"/>
      <c r="QBS63" s="228"/>
      <c r="QBT63" s="228"/>
      <c r="QBU63" s="228"/>
      <c r="QBV63" s="228"/>
      <c r="QBW63" s="226"/>
      <c r="QBX63" s="226"/>
      <c r="QBY63" s="224"/>
      <c r="QBZ63" s="225"/>
      <c r="QCA63" s="226"/>
      <c r="QCB63" s="227"/>
      <c r="QCC63" s="228"/>
      <c r="QCD63" s="228"/>
      <c r="QCE63" s="228"/>
      <c r="QCF63" s="228"/>
      <c r="QCG63" s="228"/>
      <c r="QCH63" s="228"/>
      <c r="QCI63" s="226"/>
      <c r="QCJ63" s="226"/>
      <c r="QCK63" s="224"/>
      <c r="QCL63" s="225"/>
      <c r="QCM63" s="226"/>
      <c r="QCN63" s="227"/>
      <c r="QCO63" s="228"/>
      <c r="QCP63" s="228"/>
      <c r="QCQ63" s="228"/>
      <c r="QCR63" s="228"/>
      <c r="QCS63" s="228"/>
      <c r="QCT63" s="228"/>
      <c r="QCU63" s="226"/>
      <c r="QCV63" s="226"/>
      <c r="QCW63" s="224"/>
      <c r="QCX63" s="225"/>
      <c r="QCY63" s="226"/>
      <c r="QCZ63" s="227"/>
      <c r="QDA63" s="228"/>
      <c r="QDB63" s="228"/>
      <c r="QDC63" s="228"/>
      <c r="QDD63" s="228"/>
      <c r="QDE63" s="228"/>
      <c r="QDF63" s="228"/>
      <c r="QDG63" s="226"/>
      <c r="QDH63" s="226"/>
      <c r="QDI63" s="224"/>
      <c r="QDJ63" s="225"/>
      <c r="QDK63" s="226"/>
      <c r="QDL63" s="227"/>
      <c r="QDM63" s="228"/>
      <c r="QDN63" s="228"/>
      <c r="QDO63" s="228"/>
      <c r="QDP63" s="228"/>
      <c r="QDQ63" s="228"/>
      <c r="QDR63" s="228"/>
      <c r="QDS63" s="226"/>
      <c r="QDT63" s="226"/>
      <c r="QDU63" s="224"/>
      <c r="QDV63" s="225"/>
      <c r="QDW63" s="226"/>
      <c r="QDX63" s="227"/>
      <c r="QDY63" s="228"/>
      <c r="QDZ63" s="228"/>
      <c r="QEA63" s="228"/>
      <c r="QEB63" s="228"/>
      <c r="QEC63" s="228"/>
      <c r="QED63" s="228"/>
      <c r="QEE63" s="226"/>
      <c r="QEF63" s="226"/>
      <c r="QEG63" s="224"/>
      <c r="QEH63" s="225"/>
      <c r="QEI63" s="226"/>
      <c r="QEJ63" s="227"/>
      <c r="QEK63" s="228"/>
      <c r="QEL63" s="228"/>
      <c r="QEM63" s="228"/>
      <c r="QEN63" s="228"/>
      <c r="QEO63" s="228"/>
      <c r="QEP63" s="228"/>
      <c r="QEQ63" s="226"/>
      <c r="QER63" s="226"/>
      <c r="QES63" s="224"/>
      <c r="QET63" s="225"/>
      <c r="QEU63" s="226"/>
      <c r="QEV63" s="227"/>
      <c r="QEW63" s="228"/>
      <c r="QEX63" s="228"/>
      <c r="QEY63" s="228"/>
      <c r="QEZ63" s="228"/>
      <c r="QFA63" s="228"/>
      <c r="QFB63" s="228"/>
      <c r="QFC63" s="226"/>
      <c r="QFD63" s="226"/>
      <c r="QFE63" s="224"/>
      <c r="QFF63" s="225"/>
      <c r="QFG63" s="226"/>
      <c r="QFH63" s="227"/>
      <c r="QFI63" s="228"/>
      <c r="QFJ63" s="228"/>
      <c r="QFK63" s="228"/>
      <c r="QFL63" s="228"/>
      <c r="QFM63" s="228"/>
      <c r="QFN63" s="228"/>
      <c r="QFO63" s="226"/>
      <c r="QFP63" s="226"/>
      <c r="QFQ63" s="224"/>
      <c r="QFR63" s="225"/>
      <c r="QFS63" s="226"/>
      <c r="QFT63" s="227"/>
      <c r="QFU63" s="228"/>
      <c r="QFV63" s="228"/>
      <c r="QFW63" s="228"/>
      <c r="QFX63" s="228"/>
      <c r="QFY63" s="228"/>
      <c r="QFZ63" s="228"/>
      <c r="QGA63" s="226"/>
      <c r="QGB63" s="226"/>
      <c r="QGC63" s="224"/>
      <c r="QGD63" s="225"/>
      <c r="QGE63" s="226"/>
      <c r="QGF63" s="227"/>
      <c r="QGG63" s="228"/>
      <c r="QGH63" s="228"/>
      <c r="QGI63" s="228"/>
      <c r="QGJ63" s="228"/>
      <c r="QGK63" s="228"/>
      <c r="QGL63" s="228"/>
      <c r="QGM63" s="226"/>
      <c r="QGN63" s="226"/>
      <c r="QGO63" s="224"/>
      <c r="QGP63" s="225"/>
      <c r="QGQ63" s="226"/>
      <c r="QGR63" s="227"/>
      <c r="QGS63" s="228"/>
      <c r="QGT63" s="228"/>
      <c r="QGU63" s="228"/>
      <c r="QGV63" s="228"/>
      <c r="QGW63" s="228"/>
      <c r="QGX63" s="228"/>
      <c r="QGY63" s="226"/>
      <c r="QGZ63" s="226"/>
      <c r="QHA63" s="224"/>
      <c r="QHB63" s="225"/>
      <c r="QHC63" s="226"/>
      <c r="QHD63" s="227"/>
      <c r="QHE63" s="228"/>
      <c r="QHF63" s="228"/>
      <c r="QHG63" s="228"/>
      <c r="QHH63" s="228"/>
      <c r="QHI63" s="228"/>
      <c r="QHJ63" s="228"/>
      <c r="QHK63" s="226"/>
      <c r="QHL63" s="226"/>
      <c r="QHM63" s="224"/>
      <c r="QHN63" s="225"/>
      <c r="QHO63" s="226"/>
      <c r="QHP63" s="227"/>
      <c r="QHQ63" s="228"/>
      <c r="QHR63" s="228"/>
      <c r="QHS63" s="228"/>
      <c r="QHT63" s="228"/>
      <c r="QHU63" s="228"/>
      <c r="QHV63" s="228"/>
      <c r="QHW63" s="226"/>
      <c r="QHX63" s="226"/>
      <c r="QHY63" s="224"/>
      <c r="QHZ63" s="225"/>
      <c r="QIA63" s="226"/>
      <c r="QIB63" s="227"/>
      <c r="QIC63" s="228"/>
      <c r="QID63" s="228"/>
      <c r="QIE63" s="228"/>
      <c r="QIF63" s="228"/>
      <c r="QIG63" s="228"/>
      <c r="QIH63" s="228"/>
      <c r="QII63" s="226"/>
      <c r="QIJ63" s="226"/>
      <c r="QIK63" s="224"/>
      <c r="QIL63" s="225"/>
      <c r="QIM63" s="226"/>
      <c r="QIN63" s="227"/>
      <c r="QIO63" s="228"/>
      <c r="QIP63" s="228"/>
      <c r="QIQ63" s="228"/>
      <c r="QIR63" s="228"/>
      <c r="QIS63" s="228"/>
      <c r="QIT63" s="228"/>
      <c r="QIU63" s="226"/>
      <c r="QIV63" s="226"/>
      <c r="QIW63" s="224"/>
      <c r="QIX63" s="225"/>
      <c r="QIY63" s="226"/>
      <c r="QIZ63" s="227"/>
      <c r="QJA63" s="228"/>
      <c r="QJB63" s="228"/>
      <c r="QJC63" s="228"/>
      <c r="QJD63" s="228"/>
      <c r="QJE63" s="228"/>
      <c r="QJF63" s="228"/>
      <c r="QJG63" s="226"/>
      <c r="QJH63" s="226"/>
      <c r="QJI63" s="224"/>
      <c r="QJJ63" s="225"/>
      <c r="QJK63" s="226"/>
      <c r="QJL63" s="227"/>
      <c r="QJM63" s="228"/>
      <c r="QJN63" s="228"/>
      <c r="QJO63" s="228"/>
      <c r="QJP63" s="228"/>
      <c r="QJQ63" s="228"/>
      <c r="QJR63" s="228"/>
      <c r="QJS63" s="226"/>
      <c r="QJT63" s="226"/>
      <c r="QJU63" s="224"/>
      <c r="QJV63" s="225"/>
      <c r="QJW63" s="226"/>
      <c r="QJX63" s="227"/>
      <c r="QJY63" s="228"/>
      <c r="QJZ63" s="228"/>
      <c r="QKA63" s="228"/>
      <c r="QKB63" s="228"/>
      <c r="QKC63" s="228"/>
      <c r="QKD63" s="228"/>
      <c r="QKE63" s="226"/>
      <c r="QKF63" s="226"/>
      <c r="QKG63" s="224"/>
      <c r="QKH63" s="225"/>
      <c r="QKI63" s="226"/>
      <c r="QKJ63" s="227"/>
      <c r="QKK63" s="228"/>
      <c r="QKL63" s="228"/>
      <c r="QKM63" s="228"/>
      <c r="QKN63" s="228"/>
      <c r="QKO63" s="228"/>
      <c r="QKP63" s="228"/>
      <c r="QKQ63" s="226"/>
      <c r="QKR63" s="226"/>
      <c r="QKS63" s="224"/>
      <c r="QKT63" s="225"/>
      <c r="QKU63" s="226"/>
      <c r="QKV63" s="227"/>
      <c r="QKW63" s="228"/>
      <c r="QKX63" s="228"/>
      <c r="QKY63" s="228"/>
      <c r="QKZ63" s="228"/>
      <c r="QLA63" s="228"/>
      <c r="QLB63" s="228"/>
      <c r="QLC63" s="226"/>
      <c r="QLD63" s="226"/>
      <c r="QLE63" s="224"/>
      <c r="QLF63" s="225"/>
      <c r="QLG63" s="226"/>
      <c r="QLH63" s="227"/>
      <c r="QLI63" s="228"/>
      <c r="QLJ63" s="228"/>
      <c r="QLK63" s="228"/>
      <c r="QLL63" s="228"/>
      <c r="QLM63" s="228"/>
      <c r="QLN63" s="228"/>
      <c r="QLO63" s="226"/>
      <c r="QLP63" s="226"/>
      <c r="QLQ63" s="224"/>
      <c r="QLR63" s="225"/>
      <c r="QLS63" s="226"/>
      <c r="QLT63" s="227"/>
      <c r="QLU63" s="228"/>
      <c r="QLV63" s="228"/>
      <c r="QLW63" s="228"/>
      <c r="QLX63" s="228"/>
      <c r="QLY63" s="228"/>
      <c r="QLZ63" s="228"/>
      <c r="QMA63" s="226"/>
      <c r="QMB63" s="226"/>
      <c r="QMC63" s="224"/>
      <c r="QMD63" s="225"/>
      <c r="QME63" s="226"/>
      <c r="QMF63" s="227"/>
      <c r="QMG63" s="228"/>
      <c r="QMH63" s="228"/>
      <c r="QMI63" s="228"/>
      <c r="QMJ63" s="228"/>
      <c r="QMK63" s="228"/>
      <c r="QML63" s="228"/>
      <c r="QMM63" s="226"/>
      <c r="QMN63" s="226"/>
      <c r="QMO63" s="224"/>
      <c r="QMP63" s="225"/>
      <c r="QMQ63" s="226"/>
      <c r="QMR63" s="227"/>
      <c r="QMS63" s="228"/>
      <c r="QMT63" s="228"/>
      <c r="QMU63" s="228"/>
      <c r="QMV63" s="228"/>
      <c r="QMW63" s="228"/>
      <c r="QMX63" s="228"/>
      <c r="QMY63" s="226"/>
      <c r="QMZ63" s="226"/>
      <c r="QNA63" s="224"/>
      <c r="QNB63" s="225"/>
      <c r="QNC63" s="226"/>
      <c r="QND63" s="227"/>
      <c r="QNE63" s="228"/>
      <c r="QNF63" s="228"/>
      <c r="QNG63" s="228"/>
      <c r="QNH63" s="228"/>
      <c r="QNI63" s="228"/>
      <c r="QNJ63" s="228"/>
      <c r="QNK63" s="226"/>
      <c r="QNL63" s="226"/>
      <c r="QNM63" s="224"/>
      <c r="QNN63" s="225"/>
      <c r="QNO63" s="226"/>
      <c r="QNP63" s="227"/>
      <c r="QNQ63" s="228"/>
      <c r="QNR63" s="228"/>
      <c r="QNS63" s="228"/>
      <c r="QNT63" s="228"/>
      <c r="QNU63" s="228"/>
      <c r="QNV63" s="228"/>
      <c r="QNW63" s="226"/>
      <c r="QNX63" s="226"/>
      <c r="QNY63" s="224"/>
      <c r="QNZ63" s="225"/>
      <c r="QOA63" s="226"/>
      <c r="QOB63" s="227"/>
      <c r="QOC63" s="228"/>
      <c r="QOD63" s="228"/>
      <c r="QOE63" s="228"/>
      <c r="QOF63" s="228"/>
      <c r="QOG63" s="228"/>
      <c r="QOH63" s="228"/>
      <c r="QOI63" s="226"/>
      <c r="QOJ63" s="226"/>
      <c r="QOK63" s="224"/>
      <c r="QOL63" s="225"/>
      <c r="QOM63" s="226"/>
      <c r="QON63" s="227"/>
      <c r="QOO63" s="228"/>
      <c r="QOP63" s="228"/>
      <c r="QOQ63" s="228"/>
      <c r="QOR63" s="228"/>
      <c r="QOS63" s="228"/>
      <c r="QOT63" s="228"/>
      <c r="QOU63" s="226"/>
      <c r="QOV63" s="226"/>
      <c r="QOW63" s="224"/>
      <c r="QOX63" s="225"/>
      <c r="QOY63" s="226"/>
      <c r="QOZ63" s="227"/>
      <c r="QPA63" s="228"/>
      <c r="QPB63" s="228"/>
      <c r="QPC63" s="228"/>
      <c r="QPD63" s="228"/>
      <c r="QPE63" s="228"/>
      <c r="QPF63" s="228"/>
      <c r="QPG63" s="226"/>
      <c r="QPH63" s="226"/>
      <c r="QPI63" s="224"/>
      <c r="QPJ63" s="225"/>
      <c r="QPK63" s="226"/>
      <c r="QPL63" s="227"/>
      <c r="QPM63" s="228"/>
      <c r="QPN63" s="228"/>
      <c r="QPO63" s="228"/>
      <c r="QPP63" s="228"/>
      <c r="QPQ63" s="228"/>
      <c r="QPR63" s="228"/>
      <c r="QPS63" s="226"/>
      <c r="QPT63" s="226"/>
      <c r="QPU63" s="224"/>
      <c r="QPV63" s="225"/>
      <c r="QPW63" s="226"/>
      <c r="QPX63" s="227"/>
      <c r="QPY63" s="228"/>
      <c r="QPZ63" s="228"/>
      <c r="QQA63" s="228"/>
      <c r="QQB63" s="228"/>
      <c r="QQC63" s="228"/>
      <c r="QQD63" s="228"/>
      <c r="QQE63" s="226"/>
      <c r="QQF63" s="226"/>
      <c r="QQG63" s="224"/>
      <c r="QQH63" s="225"/>
      <c r="QQI63" s="226"/>
      <c r="QQJ63" s="227"/>
      <c r="QQK63" s="228"/>
      <c r="QQL63" s="228"/>
      <c r="QQM63" s="228"/>
      <c r="QQN63" s="228"/>
      <c r="QQO63" s="228"/>
      <c r="QQP63" s="228"/>
      <c r="QQQ63" s="226"/>
      <c r="QQR63" s="226"/>
      <c r="QQS63" s="224"/>
      <c r="QQT63" s="225"/>
      <c r="QQU63" s="226"/>
      <c r="QQV63" s="227"/>
      <c r="QQW63" s="228"/>
      <c r="QQX63" s="228"/>
      <c r="QQY63" s="228"/>
      <c r="QQZ63" s="228"/>
      <c r="QRA63" s="228"/>
      <c r="QRB63" s="228"/>
      <c r="QRC63" s="226"/>
      <c r="QRD63" s="226"/>
      <c r="QRE63" s="224"/>
      <c r="QRF63" s="225"/>
      <c r="QRG63" s="226"/>
      <c r="QRH63" s="227"/>
      <c r="QRI63" s="228"/>
      <c r="QRJ63" s="228"/>
      <c r="QRK63" s="228"/>
      <c r="QRL63" s="228"/>
      <c r="QRM63" s="228"/>
      <c r="QRN63" s="228"/>
      <c r="QRO63" s="226"/>
      <c r="QRP63" s="226"/>
      <c r="QRQ63" s="224"/>
      <c r="QRR63" s="225"/>
      <c r="QRS63" s="226"/>
      <c r="QRT63" s="227"/>
      <c r="QRU63" s="228"/>
      <c r="QRV63" s="228"/>
      <c r="QRW63" s="228"/>
      <c r="QRX63" s="228"/>
      <c r="QRY63" s="228"/>
      <c r="QRZ63" s="228"/>
      <c r="QSA63" s="226"/>
      <c r="QSB63" s="226"/>
      <c r="QSC63" s="224"/>
      <c r="QSD63" s="225"/>
      <c r="QSE63" s="226"/>
      <c r="QSF63" s="227"/>
      <c r="QSG63" s="228"/>
      <c r="QSH63" s="228"/>
      <c r="QSI63" s="228"/>
      <c r="QSJ63" s="228"/>
      <c r="QSK63" s="228"/>
      <c r="QSL63" s="228"/>
      <c r="QSM63" s="226"/>
      <c r="QSN63" s="226"/>
      <c r="QSO63" s="224"/>
      <c r="QSP63" s="225"/>
      <c r="QSQ63" s="226"/>
      <c r="QSR63" s="227"/>
      <c r="QSS63" s="228"/>
      <c r="QST63" s="228"/>
      <c r="QSU63" s="228"/>
      <c r="QSV63" s="228"/>
      <c r="QSW63" s="228"/>
      <c r="QSX63" s="228"/>
      <c r="QSY63" s="226"/>
      <c r="QSZ63" s="226"/>
      <c r="QTA63" s="224"/>
      <c r="QTB63" s="225"/>
      <c r="QTC63" s="226"/>
      <c r="QTD63" s="227"/>
      <c r="QTE63" s="228"/>
      <c r="QTF63" s="228"/>
      <c r="QTG63" s="228"/>
      <c r="QTH63" s="228"/>
      <c r="QTI63" s="228"/>
      <c r="QTJ63" s="228"/>
      <c r="QTK63" s="226"/>
      <c r="QTL63" s="226"/>
      <c r="QTM63" s="224"/>
      <c r="QTN63" s="225"/>
      <c r="QTO63" s="226"/>
      <c r="QTP63" s="227"/>
      <c r="QTQ63" s="228"/>
      <c r="QTR63" s="228"/>
      <c r="QTS63" s="228"/>
      <c r="QTT63" s="228"/>
      <c r="QTU63" s="228"/>
      <c r="QTV63" s="228"/>
      <c r="QTW63" s="226"/>
      <c r="QTX63" s="226"/>
      <c r="QTY63" s="224"/>
      <c r="QTZ63" s="225"/>
      <c r="QUA63" s="226"/>
      <c r="QUB63" s="227"/>
      <c r="QUC63" s="228"/>
      <c r="QUD63" s="228"/>
      <c r="QUE63" s="228"/>
      <c r="QUF63" s="228"/>
      <c r="QUG63" s="228"/>
      <c r="QUH63" s="228"/>
      <c r="QUI63" s="226"/>
      <c r="QUJ63" s="226"/>
      <c r="QUK63" s="224"/>
      <c r="QUL63" s="225"/>
      <c r="QUM63" s="226"/>
      <c r="QUN63" s="227"/>
      <c r="QUO63" s="228"/>
      <c r="QUP63" s="228"/>
      <c r="QUQ63" s="228"/>
      <c r="QUR63" s="228"/>
      <c r="QUS63" s="228"/>
      <c r="QUT63" s="228"/>
      <c r="QUU63" s="226"/>
      <c r="QUV63" s="226"/>
      <c r="QUW63" s="224"/>
      <c r="QUX63" s="225"/>
      <c r="QUY63" s="226"/>
      <c r="QUZ63" s="227"/>
      <c r="QVA63" s="228"/>
      <c r="QVB63" s="228"/>
      <c r="QVC63" s="228"/>
      <c r="QVD63" s="228"/>
      <c r="QVE63" s="228"/>
      <c r="QVF63" s="228"/>
      <c r="QVG63" s="226"/>
      <c r="QVH63" s="226"/>
      <c r="QVI63" s="224"/>
      <c r="QVJ63" s="225"/>
      <c r="QVK63" s="226"/>
      <c r="QVL63" s="227"/>
      <c r="QVM63" s="228"/>
      <c r="QVN63" s="228"/>
      <c r="QVO63" s="228"/>
      <c r="QVP63" s="228"/>
      <c r="QVQ63" s="228"/>
      <c r="QVR63" s="228"/>
      <c r="QVS63" s="226"/>
      <c r="QVT63" s="226"/>
      <c r="QVU63" s="224"/>
      <c r="QVV63" s="225"/>
      <c r="QVW63" s="226"/>
      <c r="QVX63" s="227"/>
      <c r="QVY63" s="228"/>
      <c r="QVZ63" s="228"/>
      <c r="QWA63" s="228"/>
      <c r="QWB63" s="228"/>
      <c r="QWC63" s="228"/>
      <c r="QWD63" s="228"/>
      <c r="QWE63" s="226"/>
      <c r="QWF63" s="226"/>
      <c r="QWG63" s="224"/>
      <c r="QWH63" s="225"/>
      <c r="QWI63" s="226"/>
      <c r="QWJ63" s="227"/>
      <c r="QWK63" s="228"/>
      <c r="QWL63" s="228"/>
      <c r="QWM63" s="228"/>
      <c r="QWN63" s="228"/>
      <c r="QWO63" s="228"/>
      <c r="QWP63" s="228"/>
      <c r="QWQ63" s="226"/>
      <c r="QWR63" s="226"/>
      <c r="QWS63" s="224"/>
      <c r="QWT63" s="225"/>
      <c r="QWU63" s="226"/>
      <c r="QWV63" s="227"/>
      <c r="QWW63" s="228"/>
      <c r="QWX63" s="228"/>
      <c r="QWY63" s="228"/>
      <c r="QWZ63" s="228"/>
      <c r="QXA63" s="228"/>
      <c r="QXB63" s="228"/>
      <c r="QXC63" s="226"/>
      <c r="QXD63" s="226"/>
      <c r="QXE63" s="224"/>
      <c r="QXF63" s="225"/>
      <c r="QXG63" s="226"/>
      <c r="QXH63" s="227"/>
      <c r="QXI63" s="228"/>
      <c r="QXJ63" s="228"/>
      <c r="QXK63" s="228"/>
      <c r="QXL63" s="228"/>
      <c r="QXM63" s="228"/>
      <c r="QXN63" s="228"/>
      <c r="QXO63" s="226"/>
      <c r="QXP63" s="226"/>
      <c r="QXQ63" s="224"/>
      <c r="QXR63" s="225"/>
      <c r="QXS63" s="226"/>
      <c r="QXT63" s="227"/>
      <c r="QXU63" s="228"/>
      <c r="QXV63" s="228"/>
      <c r="QXW63" s="228"/>
      <c r="QXX63" s="228"/>
      <c r="QXY63" s="228"/>
      <c r="QXZ63" s="228"/>
      <c r="QYA63" s="226"/>
      <c r="QYB63" s="226"/>
      <c r="QYC63" s="224"/>
      <c r="QYD63" s="225"/>
      <c r="QYE63" s="226"/>
      <c r="QYF63" s="227"/>
      <c r="QYG63" s="228"/>
      <c r="QYH63" s="228"/>
      <c r="QYI63" s="228"/>
      <c r="QYJ63" s="228"/>
      <c r="QYK63" s="228"/>
      <c r="QYL63" s="228"/>
      <c r="QYM63" s="226"/>
      <c r="QYN63" s="226"/>
      <c r="QYO63" s="224"/>
      <c r="QYP63" s="225"/>
      <c r="QYQ63" s="226"/>
      <c r="QYR63" s="227"/>
      <c r="QYS63" s="228"/>
      <c r="QYT63" s="228"/>
      <c r="QYU63" s="228"/>
      <c r="QYV63" s="228"/>
      <c r="QYW63" s="228"/>
      <c r="QYX63" s="228"/>
      <c r="QYY63" s="226"/>
      <c r="QYZ63" s="226"/>
      <c r="QZA63" s="224"/>
      <c r="QZB63" s="225"/>
      <c r="QZC63" s="226"/>
      <c r="QZD63" s="227"/>
      <c r="QZE63" s="228"/>
      <c r="QZF63" s="228"/>
      <c r="QZG63" s="228"/>
      <c r="QZH63" s="228"/>
      <c r="QZI63" s="228"/>
      <c r="QZJ63" s="228"/>
      <c r="QZK63" s="226"/>
      <c r="QZL63" s="226"/>
      <c r="QZM63" s="224"/>
      <c r="QZN63" s="225"/>
      <c r="QZO63" s="226"/>
      <c r="QZP63" s="227"/>
      <c r="QZQ63" s="228"/>
      <c r="QZR63" s="228"/>
      <c r="QZS63" s="228"/>
      <c r="QZT63" s="228"/>
      <c r="QZU63" s="228"/>
      <c r="QZV63" s="228"/>
      <c r="QZW63" s="226"/>
      <c r="QZX63" s="226"/>
      <c r="QZY63" s="224"/>
      <c r="QZZ63" s="225"/>
      <c r="RAA63" s="226"/>
      <c r="RAB63" s="227"/>
      <c r="RAC63" s="228"/>
      <c r="RAD63" s="228"/>
      <c r="RAE63" s="228"/>
      <c r="RAF63" s="228"/>
      <c r="RAG63" s="228"/>
      <c r="RAH63" s="228"/>
      <c r="RAI63" s="226"/>
      <c r="RAJ63" s="226"/>
      <c r="RAK63" s="224"/>
      <c r="RAL63" s="225"/>
      <c r="RAM63" s="226"/>
      <c r="RAN63" s="227"/>
      <c r="RAO63" s="228"/>
      <c r="RAP63" s="228"/>
      <c r="RAQ63" s="228"/>
      <c r="RAR63" s="228"/>
      <c r="RAS63" s="228"/>
      <c r="RAT63" s="228"/>
      <c r="RAU63" s="226"/>
      <c r="RAV63" s="226"/>
      <c r="RAW63" s="224"/>
      <c r="RAX63" s="225"/>
      <c r="RAY63" s="226"/>
      <c r="RAZ63" s="227"/>
      <c r="RBA63" s="228"/>
      <c r="RBB63" s="228"/>
      <c r="RBC63" s="228"/>
      <c r="RBD63" s="228"/>
      <c r="RBE63" s="228"/>
      <c r="RBF63" s="228"/>
      <c r="RBG63" s="226"/>
      <c r="RBH63" s="226"/>
      <c r="RBI63" s="224"/>
      <c r="RBJ63" s="225"/>
      <c r="RBK63" s="226"/>
      <c r="RBL63" s="227"/>
      <c r="RBM63" s="228"/>
      <c r="RBN63" s="228"/>
      <c r="RBO63" s="228"/>
      <c r="RBP63" s="228"/>
      <c r="RBQ63" s="228"/>
      <c r="RBR63" s="228"/>
      <c r="RBS63" s="226"/>
      <c r="RBT63" s="226"/>
      <c r="RBU63" s="224"/>
      <c r="RBV63" s="225"/>
      <c r="RBW63" s="226"/>
      <c r="RBX63" s="227"/>
      <c r="RBY63" s="228"/>
      <c r="RBZ63" s="228"/>
      <c r="RCA63" s="228"/>
      <c r="RCB63" s="228"/>
      <c r="RCC63" s="228"/>
      <c r="RCD63" s="228"/>
      <c r="RCE63" s="226"/>
      <c r="RCF63" s="226"/>
      <c r="RCG63" s="224"/>
      <c r="RCH63" s="225"/>
      <c r="RCI63" s="226"/>
      <c r="RCJ63" s="227"/>
      <c r="RCK63" s="228"/>
      <c r="RCL63" s="228"/>
      <c r="RCM63" s="228"/>
      <c r="RCN63" s="228"/>
      <c r="RCO63" s="228"/>
      <c r="RCP63" s="228"/>
      <c r="RCQ63" s="226"/>
      <c r="RCR63" s="226"/>
      <c r="RCS63" s="224"/>
      <c r="RCT63" s="225"/>
      <c r="RCU63" s="226"/>
      <c r="RCV63" s="227"/>
      <c r="RCW63" s="228"/>
      <c r="RCX63" s="228"/>
      <c r="RCY63" s="228"/>
      <c r="RCZ63" s="228"/>
      <c r="RDA63" s="228"/>
      <c r="RDB63" s="228"/>
      <c r="RDC63" s="226"/>
      <c r="RDD63" s="226"/>
      <c r="RDE63" s="224"/>
      <c r="RDF63" s="225"/>
      <c r="RDG63" s="226"/>
      <c r="RDH63" s="227"/>
      <c r="RDI63" s="228"/>
      <c r="RDJ63" s="228"/>
      <c r="RDK63" s="228"/>
      <c r="RDL63" s="228"/>
      <c r="RDM63" s="228"/>
      <c r="RDN63" s="228"/>
      <c r="RDO63" s="226"/>
      <c r="RDP63" s="226"/>
      <c r="RDQ63" s="224"/>
      <c r="RDR63" s="225"/>
      <c r="RDS63" s="226"/>
      <c r="RDT63" s="227"/>
      <c r="RDU63" s="228"/>
      <c r="RDV63" s="228"/>
      <c r="RDW63" s="228"/>
      <c r="RDX63" s="228"/>
      <c r="RDY63" s="228"/>
      <c r="RDZ63" s="228"/>
      <c r="REA63" s="226"/>
      <c r="REB63" s="226"/>
      <c r="REC63" s="224"/>
      <c r="RED63" s="225"/>
      <c r="REE63" s="226"/>
      <c r="REF63" s="227"/>
      <c r="REG63" s="228"/>
      <c r="REH63" s="228"/>
      <c r="REI63" s="228"/>
      <c r="REJ63" s="228"/>
      <c r="REK63" s="228"/>
      <c r="REL63" s="228"/>
      <c r="REM63" s="226"/>
      <c r="REN63" s="226"/>
      <c r="REO63" s="224"/>
      <c r="REP63" s="225"/>
      <c r="REQ63" s="226"/>
      <c r="RER63" s="227"/>
      <c r="RES63" s="228"/>
      <c r="RET63" s="228"/>
      <c r="REU63" s="228"/>
      <c r="REV63" s="228"/>
      <c r="REW63" s="228"/>
      <c r="REX63" s="228"/>
      <c r="REY63" s="226"/>
      <c r="REZ63" s="226"/>
      <c r="RFA63" s="224"/>
      <c r="RFB63" s="225"/>
      <c r="RFC63" s="226"/>
      <c r="RFD63" s="227"/>
      <c r="RFE63" s="228"/>
      <c r="RFF63" s="228"/>
      <c r="RFG63" s="228"/>
      <c r="RFH63" s="228"/>
      <c r="RFI63" s="228"/>
      <c r="RFJ63" s="228"/>
      <c r="RFK63" s="226"/>
      <c r="RFL63" s="226"/>
      <c r="RFM63" s="224"/>
      <c r="RFN63" s="225"/>
      <c r="RFO63" s="226"/>
      <c r="RFP63" s="227"/>
      <c r="RFQ63" s="228"/>
      <c r="RFR63" s="228"/>
      <c r="RFS63" s="228"/>
      <c r="RFT63" s="228"/>
      <c r="RFU63" s="228"/>
      <c r="RFV63" s="228"/>
      <c r="RFW63" s="226"/>
      <c r="RFX63" s="226"/>
      <c r="RFY63" s="224"/>
      <c r="RFZ63" s="225"/>
      <c r="RGA63" s="226"/>
      <c r="RGB63" s="227"/>
      <c r="RGC63" s="228"/>
      <c r="RGD63" s="228"/>
      <c r="RGE63" s="228"/>
      <c r="RGF63" s="228"/>
      <c r="RGG63" s="228"/>
      <c r="RGH63" s="228"/>
      <c r="RGI63" s="226"/>
      <c r="RGJ63" s="226"/>
      <c r="RGK63" s="224"/>
      <c r="RGL63" s="225"/>
      <c r="RGM63" s="226"/>
      <c r="RGN63" s="227"/>
      <c r="RGO63" s="228"/>
      <c r="RGP63" s="228"/>
      <c r="RGQ63" s="228"/>
      <c r="RGR63" s="228"/>
      <c r="RGS63" s="228"/>
      <c r="RGT63" s="228"/>
      <c r="RGU63" s="226"/>
      <c r="RGV63" s="226"/>
      <c r="RGW63" s="224"/>
      <c r="RGX63" s="225"/>
      <c r="RGY63" s="226"/>
      <c r="RGZ63" s="227"/>
      <c r="RHA63" s="228"/>
      <c r="RHB63" s="228"/>
      <c r="RHC63" s="228"/>
      <c r="RHD63" s="228"/>
      <c r="RHE63" s="228"/>
      <c r="RHF63" s="228"/>
      <c r="RHG63" s="226"/>
      <c r="RHH63" s="226"/>
      <c r="RHI63" s="224"/>
      <c r="RHJ63" s="225"/>
      <c r="RHK63" s="226"/>
      <c r="RHL63" s="227"/>
      <c r="RHM63" s="228"/>
      <c r="RHN63" s="228"/>
      <c r="RHO63" s="228"/>
      <c r="RHP63" s="228"/>
      <c r="RHQ63" s="228"/>
      <c r="RHR63" s="228"/>
      <c r="RHS63" s="226"/>
      <c r="RHT63" s="226"/>
      <c r="RHU63" s="224"/>
      <c r="RHV63" s="225"/>
      <c r="RHW63" s="226"/>
      <c r="RHX63" s="227"/>
      <c r="RHY63" s="228"/>
      <c r="RHZ63" s="228"/>
      <c r="RIA63" s="228"/>
      <c r="RIB63" s="228"/>
      <c r="RIC63" s="228"/>
      <c r="RID63" s="228"/>
      <c r="RIE63" s="226"/>
      <c r="RIF63" s="226"/>
      <c r="RIG63" s="224"/>
      <c r="RIH63" s="225"/>
      <c r="RII63" s="226"/>
      <c r="RIJ63" s="227"/>
      <c r="RIK63" s="228"/>
      <c r="RIL63" s="228"/>
      <c r="RIM63" s="228"/>
      <c r="RIN63" s="228"/>
      <c r="RIO63" s="228"/>
      <c r="RIP63" s="228"/>
      <c r="RIQ63" s="226"/>
      <c r="RIR63" s="226"/>
      <c r="RIS63" s="224"/>
      <c r="RIT63" s="225"/>
      <c r="RIU63" s="226"/>
      <c r="RIV63" s="227"/>
      <c r="RIW63" s="228"/>
      <c r="RIX63" s="228"/>
      <c r="RIY63" s="228"/>
      <c r="RIZ63" s="228"/>
      <c r="RJA63" s="228"/>
      <c r="RJB63" s="228"/>
      <c r="RJC63" s="226"/>
      <c r="RJD63" s="226"/>
      <c r="RJE63" s="224"/>
      <c r="RJF63" s="225"/>
      <c r="RJG63" s="226"/>
      <c r="RJH63" s="227"/>
      <c r="RJI63" s="228"/>
      <c r="RJJ63" s="228"/>
      <c r="RJK63" s="228"/>
      <c r="RJL63" s="228"/>
      <c r="RJM63" s="228"/>
      <c r="RJN63" s="228"/>
      <c r="RJO63" s="226"/>
      <c r="RJP63" s="226"/>
      <c r="RJQ63" s="224"/>
      <c r="RJR63" s="225"/>
      <c r="RJS63" s="226"/>
      <c r="RJT63" s="227"/>
      <c r="RJU63" s="228"/>
      <c r="RJV63" s="228"/>
      <c r="RJW63" s="228"/>
      <c r="RJX63" s="228"/>
      <c r="RJY63" s="228"/>
      <c r="RJZ63" s="228"/>
      <c r="RKA63" s="226"/>
      <c r="RKB63" s="226"/>
      <c r="RKC63" s="224"/>
      <c r="RKD63" s="225"/>
      <c r="RKE63" s="226"/>
      <c r="RKF63" s="227"/>
      <c r="RKG63" s="228"/>
      <c r="RKH63" s="228"/>
      <c r="RKI63" s="228"/>
      <c r="RKJ63" s="228"/>
      <c r="RKK63" s="228"/>
      <c r="RKL63" s="228"/>
      <c r="RKM63" s="226"/>
      <c r="RKN63" s="226"/>
      <c r="RKO63" s="224"/>
      <c r="RKP63" s="225"/>
      <c r="RKQ63" s="226"/>
      <c r="RKR63" s="227"/>
      <c r="RKS63" s="228"/>
      <c r="RKT63" s="228"/>
      <c r="RKU63" s="228"/>
      <c r="RKV63" s="228"/>
      <c r="RKW63" s="228"/>
      <c r="RKX63" s="228"/>
      <c r="RKY63" s="226"/>
      <c r="RKZ63" s="226"/>
      <c r="RLA63" s="224"/>
      <c r="RLB63" s="225"/>
      <c r="RLC63" s="226"/>
      <c r="RLD63" s="227"/>
      <c r="RLE63" s="228"/>
      <c r="RLF63" s="228"/>
      <c r="RLG63" s="228"/>
      <c r="RLH63" s="228"/>
      <c r="RLI63" s="228"/>
      <c r="RLJ63" s="228"/>
      <c r="RLK63" s="226"/>
      <c r="RLL63" s="226"/>
      <c r="RLM63" s="224"/>
      <c r="RLN63" s="225"/>
      <c r="RLO63" s="226"/>
      <c r="RLP63" s="227"/>
      <c r="RLQ63" s="228"/>
      <c r="RLR63" s="228"/>
      <c r="RLS63" s="228"/>
      <c r="RLT63" s="228"/>
      <c r="RLU63" s="228"/>
      <c r="RLV63" s="228"/>
      <c r="RLW63" s="226"/>
      <c r="RLX63" s="226"/>
      <c r="RLY63" s="224"/>
      <c r="RLZ63" s="225"/>
      <c r="RMA63" s="226"/>
      <c r="RMB63" s="227"/>
      <c r="RMC63" s="228"/>
      <c r="RMD63" s="228"/>
      <c r="RME63" s="228"/>
      <c r="RMF63" s="228"/>
      <c r="RMG63" s="228"/>
      <c r="RMH63" s="228"/>
      <c r="RMI63" s="226"/>
      <c r="RMJ63" s="226"/>
      <c r="RMK63" s="224"/>
      <c r="RML63" s="225"/>
      <c r="RMM63" s="226"/>
      <c r="RMN63" s="227"/>
      <c r="RMO63" s="228"/>
      <c r="RMP63" s="228"/>
      <c r="RMQ63" s="228"/>
      <c r="RMR63" s="228"/>
      <c r="RMS63" s="228"/>
      <c r="RMT63" s="228"/>
      <c r="RMU63" s="226"/>
      <c r="RMV63" s="226"/>
      <c r="RMW63" s="224"/>
      <c r="RMX63" s="225"/>
      <c r="RMY63" s="226"/>
      <c r="RMZ63" s="227"/>
      <c r="RNA63" s="228"/>
      <c r="RNB63" s="228"/>
      <c r="RNC63" s="228"/>
      <c r="RND63" s="228"/>
      <c r="RNE63" s="228"/>
      <c r="RNF63" s="228"/>
      <c r="RNG63" s="226"/>
      <c r="RNH63" s="226"/>
      <c r="RNI63" s="224"/>
      <c r="RNJ63" s="225"/>
      <c r="RNK63" s="226"/>
      <c r="RNL63" s="227"/>
      <c r="RNM63" s="228"/>
      <c r="RNN63" s="228"/>
      <c r="RNO63" s="228"/>
      <c r="RNP63" s="228"/>
      <c r="RNQ63" s="228"/>
      <c r="RNR63" s="228"/>
      <c r="RNS63" s="226"/>
      <c r="RNT63" s="226"/>
      <c r="RNU63" s="224"/>
      <c r="RNV63" s="225"/>
      <c r="RNW63" s="226"/>
      <c r="RNX63" s="227"/>
      <c r="RNY63" s="228"/>
      <c r="RNZ63" s="228"/>
      <c r="ROA63" s="228"/>
      <c r="ROB63" s="228"/>
      <c r="ROC63" s="228"/>
      <c r="ROD63" s="228"/>
      <c r="ROE63" s="226"/>
      <c r="ROF63" s="226"/>
      <c r="ROG63" s="224"/>
      <c r="ROH63" s="225"/>
      <c r="ROI63" s="226"/>
      <c r="ROJ63" s="227"/>
      <c r="ROK63" s="228"/>
      <c r="ROL63" s="228"/>
      <c r="ROM63" s="228"/>
      <c r="RON63" s="228"/>
      <c r="ROO63" s="228"/>
      <c r="ROP63" s="228"/>
      <c r="ROQ63" s="226"/>
      <c r="ROR63" s="226"/>
      <c r="ROS63" s="224"/>
      <c r="ROT63" s="225"/>
      <c r="ROU63" s="226"/>
      <c r="ROV63" s="227"/>
      <c r="ROW63" s="228"/>
      <c r="ROX63" s="228"/>
      <c r="ROY63" s="228"/>
      <c r="ROZ63" s="228"/>
      <c r="RPA63" s="228"/>
      <c r="RPB63" s="228"/>
      <c r="RPC63" s="226"/>
      <c r="RPD63" s="226"/>
      <c r="RPE63" s="224"/>
      <c r="RPF63" s="225"/>
      <c r="RPG63" s="226"/>
      <c r="RPH63" s="227"/>
      <c r="RPI63" s="228"/>
      <c r="RPJ63" s="228"/>
      <c r="RPK63" s="228"/>
      <c r="RPL63" s="228"/>
      <c r="RPM63" s="228"/>
      <c r="RPN63" s="228"/>
      <c r="RPO63" s="226"/>
      <c r="RPP63" s="226"/>
      <c r="RPQ63" s="224"/>
      <c r="RPR63" s="225"/>
      <c r="RPS63" s="226"/>
      <c r="RPT63" s="227"/>
      <c r="RPU63" s="228"/>
      <c r="RPV63" s="228"/>
      <c r="RPW63" s="228"/>
      <c r="RPX63" s="228"/>
      <c r="RPY63" s="228"/>
      <c r="RPZ63" s="228"/>
      <c r="RQA63" s="226"/>
      <c r="RQB63" s="226"/>
      <c r="RQC63" s="224"/>
      <c r="RQD63" s="225"/>
      <c r="RQE63" s="226"/>
      <c r="RQF63" s="227"/>
      <c r="RQG63" s="228"/>
      <c r="RQH63" s="228"/>
      <c r="RQI63" s="228"/>
      <c r="RQJ63" s="228"/>
      <c r="RQK63" s="228"/>
      <c r="RQL63" s="228"/>
      <c r="RQM63" s="226"/>
      <c r="RQN63" s="226"/>
      <c r="RQO63" s="224"/>
      <c r="RQP63" s="225"/>
      <c r="RQQ63" s="226"/>
      <c r="RQR63" s="227"/>
      <c r="RQS63" s="228"/>
      <c r="RQT63" s="228"/>
      <c r="RQU63" s="228"/>
      <c r="RQV63" s="228"/>
      <c r="RQW63" s="228"/>
      <c r="RQX63" s="228"/>
      <c r="RQY63" s="226"/>
      <c r="RQZ63" s="226"/>
      <c r="RRA63" s="224"/>
      <c r="RRB63" s="225"/>
      <c r="RRC63" s="226"/>
      <c r="RRD63" s="227"/>
      <c r="RRE63" s="228"/>
      <c r="RRF63" s="228"/>
      <c r="RRG63" s="228"/>
      <c r="RRH63" s="228"/>
      <c r="RRI63" s="228"/>
      <c r="RRJ63" s="228"/>
      <c r="RRK63" s="226"/>
      <c r="RRL63" s="226"/>
      <c r="RRM63" s="224"/>
      <c r="RRN63" s="225"/>
      <c r="RRO63" s="226"/>
      <c r="RRP63" s="227"/>
      <c r="RRQ63" s="228"/>
      <c r="RRR63" s="228"/>
      <c r="RRS63" s="228"/>
      <c r="RRT63" s="228"/>
      <c r="RRU63" s="228"/>
      <c r="RRV63" s="228"/>
      <c r="RRW63" s="226"/>
      <c r="RRX63" s="226"/>
      <c r="RRY63" s="224"/>
      <c r="RRZ63" s="225"/>
      <c r="RSA63" s="226"/>
      <c r="RSB63" s="227"/>
      <c r="RSC63" s="228"/>
      <c r="RSD63" s="228"/>
      <c r="RSE63" s="228"/>
      <c r="RSF63" s="228"/>
      <c r="RSG63" s="228"/>
      <c r="RSH63" s="228"/>
      <c r="RSI63" s="226"/>
      <c r="RSJ63" s="226"/>
      <c r="RSK63" s="224"/>
      <c r="RSL63" s="225"/>
      <c r="RSM63" s="226"/>
      <c r="RSN63" s="227"/>
      <c r="RSO63" s="228"/>
      <c r="RSP63" s="228"/>
      <c r="RSQ63" s="228"/>
      <c r="RSR63" s="228"/>
      <c r="RSS63" s="228"/>
      <c r="RST63" s="228"/>
      <c r="RSU63" s="226"/>
      <c r="RSV63" s="226"/>
      <c r="RSW63" s="224"/>
      <c r="RSX63" s="225"/>
      <c r="RSY63" s="226"/>
      <c r="RSZ63" s="227"/>
      <c r="RTA63" s="228"/>
      <c r="RTB63" s="228"/>
      <c r="RTC63" s="228"/>
      <c r="RTD63" s="228"/>
      <c r="RTE63" s="228"/>
      <c r="RTF63" s="228"/>
      <c r="RTG63" s="226"/>
      <c r="RTH63" s="226"/>
      <c r="RTI63" s="224"/>
      <c r="RTJ63" s="225"/>
      <c r="RTK63" s="226"/>
      <c r="RTL63" s="227"/>
      <c r="RTM63" s="228"/>
      <c r="RTN63" s="228"/>
      <c r="RTO63" s="228"/>
      <c r="RTP63" s="228"/>
      <c r="RTQ63" s="228"/>
      <c r="RTR63" s="228"/>
      <c r="RTS63" s="226"/>
      <c r="RTT63" s="226"/>
      <c r="RTU63" s="224"/>
      <c r="RTV63" s="225"/>
      <c r="RTW63" s="226"/>
      <c r="RTX63" s="227"/>
      <c r="RTY63" s="228"/>
      <c r="RTZ63" s="228"/>
      <c r="RUA63" s="228"/>
      <c r="RUB63" s="228"/>
      <c r="RUC63" s="228"/>
      <c r="RUD63" s="228"/>
      <c r="RUE63" s="226"/>
      <c r="RUF63" s="226"/>
      <c r="RUG63" s="224"/>
      <c r="RUH63" s="225"/>
      <c r="RUI63" s="226"/>
      <c r="RUJ63" s="227"/>
      <c r="RUK63" s="228"/>
      <c r="RUL63" s="228"/>
      <c r="RUM63" s="228"/>
      <c r="RUN63" s="228"/>
      <c r="RUO63" s="228"/>
      <c r="RUP63" s="228"/>
      <c r="RUQ63" s="226"/>
      <c r="RUR63" s="226"/>
      <c r="RUS63" s="224"/>
      <c r="RUT63" s="225"/>
      <c r="RUU63" s="226"/>
      <c r="RUV63" s="227"/>
      <c r="RUW63" s="228"/>
      <c r="RUX63" s="228"/>
      <c r="RUY63" s="228"/>
      <c r="RUZ63" s="228"/>
      <c r="RVA63" s="228"/>
      <c r="RVB63" s="228"/>
      <c r="RVC63" s="226"/>
      <c r="RVD63" s="226"/>
      <c r="RVE63" s="224"/>
      <c r="RVF63" s="225"/>
      <c r="RVG63" s="226"/>
      <c r="RVH63" s="227"/>
      <c r="RVI63" s="228"/>
      <c r="RVJ63" s="228"/>
      <c r="RVK63" s="228"/>
      <c r="RVL63" s="228"/>
      <c r="RVM63" s="228"/>
      <c r="RVN63" s="228"/>
      <c r="RVO63" s="226"/>
      <c r="RVP63" s="226"/>
      <c r="RVQ63" s="224"/>
      <c r="RVR63" s="225"/>
      <c r="RVS63" s="226"/>
      <c r="RVT63" s="227"/>
      <c r="RVU63" s="228"/>
      <c r="RVV63" s="228"/>
      <c r="RVW63" s="228"/>
      <c r="RVX63" s="228"/>
      <c r="RVY63" s="228"/>
      <c r="RVZ63" s="228"/>
      <c r="RWA63" s="226"/>
      <c r="RWB63" s="226"/>
      <c r="RWC63" s="224"/>
      <c r="RWD63" s="225"/>
      <c r="RWE63" s="226"/>
      <c r="RWF63" s="227"/>
      <c r="RWG63" s="228"/>
      <c r="RWH63" s="228"/>
      <c r="RWI63" s="228"/>
      <c r="RWJ63" s="228"/>
      <c r="RWK63" s="228"/>
      <c r="RWL63" s="228"/>
      <c r="RWM63" s="226"/>
      <c r="RWN63" s="226"/>
      <c r="RWO63" s="224"/>
      <c r="RWP63" s="225"/>
      <c r="RWQ63" s="226"/>
      <c r="RWR63" s="227"/>
      <c r="RWS63" s="228"/>
      <c r="RWT63" s="228"/>
      <c r="RWU63" s="228"/>
      <c r="RWV63" s="228"/>
      <c r="RWW63" s="228"/>
      <c r="RWX63" s="228"/>
      <c r="RWY63" s="226"/>
      <c r="RWZ63" s="226"/>
      <c r="RXA63" s="224"/>
      <c r="RXB63" s="225"/>
      <c r="RXC63" s="226"/>
      <c r="RXD63" s="227"/>
      <c r="RXE63" s="228"/>
      <c r="RXF63" s="228"/>
      <c r="RXG63" s="228"/>
      <c r="RXH63" s="228"/>
      <c r="RXI63" s="228"/>
      <c r="RXJ63" s="228"/>
      <c r="RXK63" s="226"/>
      <c r="RXL63" s="226"/>
      <c r="RXM63" s="224"/>
      <c r="RXN63" s="225"/>
      <c r="RXO63" s="226"/>
      <c r="RXP63" s="227"/>
      <c r="RXQ63" s="228"/>
      <c r="RXR63" s="228"/>
      <c r="RXS63" s="228"/>
      <c r="RXT63" s="228"/>
      <c r="RXU63" s="228"/>
      <c r="RXV63" s="228"/>
      <c r="RXW63" s="226"/>
      <c r="RXX63" s="226"/>
      <c r="RXY63" s="224"/>
      <c r="RXZ63" s="225"/>
      <c r="RYA63" s="226"/>
      <c r="RYB63" s="227"/>
      <c r="RYC63" s="228"/>
      <c r="RYD63" s="228"/>
      <c r="RYE63" s="228"/>
      <c r="RYF63" s="228"/>
      <c r="RYG63" s="228"/>
      <c r="RYH63" s="228"/>
      <c r="RYI63" s="226"/>
      <c r="RYJ63" s="226"/>
      <c r="RYK63" s="224"/>
      <c r="RYL63" s="225"/>
      <c r="RYM63" s="226"/>
      <c r="RYN63" s="227"/>
      <c r="RYO63" s="228"/>
      <c r="RYP63" s="228"/>
      <c r="RYQ63" s="228"/>
      <c r="RYR63" s="228"/>
      <c r="RYS63" s="228"/>
      <c r="RYT63" s="228"/>
      <c r="RYU63" s="226"/>
      <c r="RYV63" s="226"/>
      <c r="RYW63" s="224"/>
      <c r="RYX63" s="225"/>
      <c r="RYY63" s="226"/>
      <c r="RYZ63" s="227"/>
      <c r="RZA63" s="228"/>
      <c r="RZB63" s="228"/>
      <c r="RZC63" s="228"/>
      <c r="RZD63" s="228"/>
      <c r="RZE63" s="228"/>
      <c r="RZF63" s="228"/>
      <c r="RZG63" s="226"/>
      <c r="RZH63" s="226"/>
      <c r="RZI63" s="224"/>
      <c r="RZJ63" s="225"/>
      <c r="RZK63" s="226"/>
      <c r="RZL63" s="227"/>
      <c r="RZM63" s="228"/>
      <c r="RZN63" s="228"/>
      <c r="RZO63" s="228"/>
      <c r="RZP63" s="228"/>
      <c r="RZQ63" s="228"/>
      <c r="RZR63" s="228"/>
      <c r="RZS63" s="226"/>
      <c r="RZT63" s="226"/>
      <c r="RZU63" s="224"/>
      <c r="RZV63" s="225"/>
      <c r="RZW63" s="226"/>
      <c r="RZX63" s="227"/>
      <c r="RZY63" s="228"/>
      <c r="RZZ63" s="228"/>
      <c r="SAA63" s="228"/>
      <c r="SAB63" s="228"/>
      <c r="SAC63" s="228"/>
      <c r="SAD63" s="228"/>
      <c r="SAE63" s="226"/>
      <c r="SAF63" s="226"/>
      <c r="SAG63" s="224"/>
      <c r="SAH63" s="225"/>
      <c r="SAI63" s="226"/>
      <c r="SAJ63" s="227"/>
      <c r="SAK63" s="228"/>
      <c r="SAL63" s="228"/>
      <c r="SAM63" s="228"/>
      <c r="SAN63" s="228"/>
      <c r="SAO63" s="228"/>
      <c r="SAP63" s="228"/>
      <c r="SAQ63" s="226"/>
      <c r="SAR63" s="226"/>
      <c r="SAS63" s="224"/>
      <c r="SAT63" s="225"/>
      <c r="SAU63" s="226"/>
      <c r="SAV63" s="227"/>
      <c r="SAW63" s="228"/>
      <c r="SAX63" s="228"/>
      <c r="SAY63" s="228"/>
      <c r="SAZ63" s="228"/>
      <c r="SBA63" s="228"/>
      <c r="SBB63" s="228"/>
      <c r="SBC63" s="226"/>
      <c r="SBD63" s="226"/>
      <c r="SBE63" s="224"/>
      <c r="SBF63" s="225"/>
      <c r="SBG63" s="226"/>
      <c r="SBH63" s="227"/>
      <c r="SBI63" s="228"/>
      <c r="SBJ63" s="228"/>
      <c r="SBK63" s="228"/>
      <c r="SBL63" s="228"/>
      <c r="SBM63" s="228"/>
      <c r="SBN63" s="228"/>
      <c r="SBO63" s="226"/>
      <c r="SBP63" s="226"/>
      <c r="SBQ63" s="224"/>
      <c r="SBR63" s="225"/>
      <c r="SBS63" s="226"/>
      <c r="SBT63" s="227"/>
      <c r="SBU63" s="228"/>
      <c r="SBV63" s="228"/>
      <c r="SBW63" s="228"/>
      <c r="SBX63" s="228"/>
      <c r="SBY63" s="228"/>
      <c r="SBZ63" s="228"/>
      <c r="SCA63" s="226"/>
      <c r="SCB63" s="226"/>
      <c r="SCC63" s="224"/>
      <c r="SCD63" s="225"/>
      <c r="SCE63" s="226"/>
      <c r="SCF63" s="227"/>
      <c r="SCG63" s="228"/>
      <c r="SCH63" s="228"/>
      <c r="SCI63" s="228"/>
      <c r="SCJ63" s="228"/>
      <c r="SCK63" s="228"/>
      <c r="SCL63" s="228"/>
      <c r="SCM63" s="226"/>
      <c r="SCN63" s="226"/>
      <c r="SCO63" s="224"/>
      <c r="SCP63" s="225"/>
      <c r="SCQ63" s="226"/>
      <c r="SCR63" s="227"/>
      <c r="SCS63" s="228"/>
      <c r="SCT63" s="228"/>
      <c r="SCU63" s="228"/>
      <c r="SCV63" s="228"/>
      <c r="SCW63" s="228"/>
      <c r="SCX63" s="228"/>
      <c r="SCY63" s="226"/>
      <c r="SCZ63" s="226"/>
      <c r="SDA63" s="224"/>
      <c r="SDB63" s="225"/>
      <c r="SDC63" s="226"/>
      <c r="SDD63" s="227"/>
      <c r="SDE63" s="228"/>
      <c r="SDF63" s="228"/>
      <c r="SDG63" s="228"/>
      <c r="SDH63" s="228"/>
      <c r="SDI63" s="228"/>
      <c r="SDJ63" s="228"/>
      <c r="SDK63" s="226"/>
      <c r="SDL63" s="226"/>
      <c r="SDM63" s="224"/>
      <c r="SDN63" s="225"/>
      <c r="SDO63" s="226"/>
      <c r="SDP63" s="227"/>
      <c r="SDQ63" s="228"/>
      <c r="SDR63" s="228"/>
      <c r="SDS63" s="228"/>
      <c r="SDT63" s="228"/>
      <c r="SDU63" s="228"/>
      <c r="SDV63" s="228"/>
      <c r="SDW63" s="226"/>
      <c r="SDX63" s="226"/>
      <c r="SDY63" s="224"/>
      <c r="SDZ63" s="225"/>
      <c r="SEA63" s="226"/>
      <c r="SEB63" s="227"/>
      <c r="SEC63" s="228"/>
      <c r="SED63" s="228"/>
      <c r="SEE63" s="228"/>
      <c r="SEF63" s="228"/>
      <c r="SEG63" s="228"/>
      <c r="SEH63" s="228"/>
      <c r="SEI63" s="226"/>
      <c r="SEJ63" s="226"/>
      <c r="SEK63" s="224"/>
      <c r="SEL63" s="225"/>
      <c r="SEM63" s="226"/>
      <c r="SEN63" s="227"/>
      <c r="SEO63" s="228"/>
      <c r="SEP63" s="228"/>
      <c r="SEQ63" s="228"/>
      <c r="SER63" s="228"/>
      <c r="SES63" s="228"/>
      <c r="SET63" s="228"/>
      <c r="SEU63" s="226"/>
      <c r="SEV63" s="226"/>
      <c r="SEW63" s="224"/>
      <c r="SEX63" s="225"/>
      <c r="SEY63" s="226"/>
      <c r="SEZ63" s="227"/>
      <c r="SFA63" s="228"/>
      <c r="SFB63" s="228"/>
      <c r="SFC63" s="228"/>
      <c r="SFD63" s="228"/>
      <c r="SFE63" s="228"/>
      <c r="SFF63" s="228"/>
      <c r="SFG63" s="226"/>
      <c r="SFH63" s="226"/>
      <c r="SFI63" s="224"/>
      <c r="SFJ63" s="225"/>
      <c r="SFK63" s="226"/>
      <c r="SFL63" s="227"/>
      <c r="SFM63" s="228"/>
      <c r="SFN63" s="228"/>
      <c r="SFO63" s="228"/>
      <c r="SFP63" s="228"/>
      <c r="SFQ63" s="228"/>
      <c r="SFR63" s="228"/>
      <c r="SFS63" s="226"/>
      <c r="SFT63" s="226"/>
      <c r="SFU63" s="224"/>
      <c r="SFV63" s="225"/>
      <c r="SFW63" s="226"/>
      <c r="SFX63" s="227"/>
      <c r="SFY63" s="228"/>
      <c r="SFZ63" s="228"/>
      <c r="SGA63" s="228"/>
      <c r="SGB63" s="228"/>
      <c r="SGC63" s="228"/>
      <c r="SGD63" s="228"/>
      <c r="SGE63" s="226"/>
      <c r="SGF63" s="226"/>
      <c r="SGG63" s="224"/>
      <c r="SGH63" s="225"/>
      <c r="SGI63" s="226"/>
      <c r="SGJ63" s="227"/>
      <c r="SGK63" s="228"/>
      <c r="SGL63" s="228"/>
      <c r="SGM63" s="228"/>
      <c r="SGN63" s="228"/>
      <c r="SGO63" s="228"/>
      <c r="SGP63" s="228"/>
      <c r="SGQ63" s="226"/>
      <c r="SGR63" s="226"/>
      <c r="SGS63" s="224"/>
      <c r="SGT63" s="225"/>
      <c r="SGU63" s="226"/>
      <c r="SGV63" s="227"/>
      <c r="SGW63" s="228"/>
      <c r="SGX63" s="228"/>
      <c r="SGY63" s="228"/>
      <c r="SGZ63" s="228"/>
      <c r="SHA63" s="228"/>
      <c r="SHB63" s="228"/>
      <c r="SHC63" s="226"/>
      <c r="SHD63" s="226"/>
      <c r="SHE63" s="224"/>
      <c r="SHF63" s="225"/>
      <c r="SHG63" s="226"/>
      <c r="SHH63" s="227"/>
      <c r="SHI63" s="228"/>
      <c r="SHJ63" s="228"/>
      <c r="SHK63" s="228"/>
      <c r="SHL63" s="228"/>
      <c r="SHM63" s="228"/>
      <c r="SHN63" s="228"/>
      <c r="SHO63" s="226"/>
      <c r="SHP63" s="226"/>
      <c r="SHQ63" s="224"/>
      <c r="SHR63" s="225"/>
      <c r="SHS63" s="226"/>
      <c r="SHT63" s="227"/>
      <c r="SHU63" s="228"/>
      <c r="SHV63" s="228"/>
      <c r="SHW63" s="228"/>
      <c r="SHX63" s="228"/>
      <c r="SHY63" s="228"/>
      <c r="SHZ63" s="228"/>
      <c r="SIA63" s="226"/>
      <c r="SIB63" s="226"/>
      <c r="SIC63" s="224"/>
      <c r="SID63" s="225"/>
      <c r="SIE63" s="226"/>
      <c r="SIF63" s="227"/>
      <c r="SIG63" s="228"/>
      <c r="SIH63" s="228"/>
      <c r="SII63" s="228"/>
      <c r="SIJ63" s="228"/>
      <c r="SIK63" s="228"/>
      <c r="SIL63" s="228"/>
      <c r="SIM63" s="226"/>
      <c r="SIN63" s="226"/>
      <c r="SIO63" s="224"/>
      <c r="SIP63" s="225"/>
      <c r="SIQ63" s="226"/>
      <c r="SIR63" s="227"/>
      <c r="SIS63" s="228"/>
      <c r="SIT63" s="228"/>
      <c r="SIU63" s="228"/>
      <c r="SIV63" s="228"/>
      <c r="SIW63" s="228"/>
      <c r="SIX63" s="228"/>
      <c r="SIY63" s="226"/>
      <c r="SIZ63" s="226"/>
      <c r="SJA63" s="224"/>
      <c r="SJB63" s="225"/>
      <c r="SJC63" s="226"/>
      <c r="SJD63" s="227"/>
      <c r="SJE63" s="228"/>
      <c r="SJF63" s="228"/>
      <c r="SJG63" s="228"/>
      <c r="SJH63" s="228"/>
      <c r="SJI63" s="228"/>
      <c r="SJJ63" s="228"/>
      <c r="SJK63" s="226"/>
      <c r="SJL63" s="226"/>
      <c r="SJM63" s="224"/>
      <c r="SJN63" s="225"/>
      <c r="SJO63" s="226"/>
      <c r="SJP63" s="227"/>
      <c r="SJQ63" s="228"/>
      <c r="SJR63" s="228"/>
      <c r="SJS63" s="228"/>
      <c r="SJT63" s="228"/>
      <c r="SJU63" s="228"/>
      <c r="SJV63" s="228"/>
      <c r="SJW63" s="226"/>
      <c r="SJX63" s="226"/>
      <c r="SJY63" s="224"/>
      <c r="SJZ63" s="225"/>
      <c r="SKA63" s="226"/>
      <c r="SKB63" s="227"/>
      <c r="SKC63" s="228"/>
      <c r="SKD63" s="228"/>
      <c r="SKE63" s="228"/>
      <c r="SKF63" s="228"/>
      <c r="SKG63" s="228"/>
      <c r="SKH63" s="228"/>
      <c r="SKI63" s="226"/>
      <c r="SKJ63" s="226"/>
      <c r="SKK63" s="224"/>
      <c r="SKL63" s="225"/>
      <c r="SKM63" s="226"/>
      <c r="SKN63" s="227"/>
      <c r="SKO63" s="228"/>
      <c r="SKP63" s="228"/>
      <c r="SKQ63" s="228"/>
      <c r="SKR63" s="228"/>
      <c r="SKS63" s="228"/>
      <c r="SKT63" s="228"/>
      <c r="SKU63" s="226"/>
      <c r="SKV63" s="226"/>
      <c r="SKW63" s="224"/>
      <c r="SKX63" s="225"/>
      <c r="SKY63" s="226"/>
      <c r="SKZ63" s="227"/>
      <c r="SLA63" s="228"/>
      <c r="SLB63" s="228"/>
      <c r="SLC63" s="228"/>
      <c r="SLD63" s="228"/>
      <c r="SLE63" s="228"/>
      <c r="SLF63" s="228"/>
      <c r="SLG63" s="226"/>
      <c r="SLH63" s="226"/>
      <c r="SLI63" s="224"/>
      <c r="SLJ63" s="225"/>
      <c r="SLK63" s="226"/>
      <c r="SLL63" s="227"/>
      <c r="SLM63" s="228"/>
      <c r="SLN63" s="228"/>
      <c r="SLO63" s="228"/>
      <c r="SLP63" s="228"/>
      <c r="SLQ63" s="228"/>
      <c r="SLR63" s="228"/>
      <c r="SLS63" s="226"/>
      <c r="SLT63" s="226"/>
      <c r="SLU63" s="224"/>
      <c r="SLV63" s="225"/>
      <c r="SLW63" s="226"/>
      <c r="SLX63" s="227"/>
      <c r="SLY63" s="228"/>
      <c r="SLZ63" s="228"/>
      <c r="SMA63" s="228"/>
      <c r="SMB63" s="228"/>
      <c r="SMC63" s="228"/>
      <c r="SMD63" s="228"/>
      <c r="SME63" s="226"/>
      <c r="SMF63" s="226"/>
      <c r="SMG63" s="224"/>
      <c r="SMH63" s="225"/>
      <c r="SMI63" s="226"/>
      <c r="SMJ63" s="227"/>
      <c r="SMK63" s="228"/>
      <c r="SML63" s="228"/>
      <c r="SMM63" s="228"/>
      <c r="SMN63" s="228"/>
      <c r="SMO63" s="228"/>
      <c r="SMP63" s="228"/>
      <c r="SMQ63" s="226"/>
      <c r="SMR63" s="226"/>
      <c r="SMS63" s="224"/>
      <c r="SMT63" s="225"/>
      <c r="SMU63" s="226"/>
      <c r="SMV63" s="227"/>
      <c r="SMW63" s="228"/>
      <c r="SMX63" s="228"/>
      <c r="SMY63" s="228"/>
      <c r="SMZ63" s="228"/>
      <c r="SNA63" s="228"/>
      <c r="SNB63" s="228"/>
      <c r="SNC63" s="226"/>
      <c r="SND63" s="226"/>
      <c r="SNE63" s="224"/>
      <c r="SNF63" s="225"/>
      <c r="SNG63" s="226"/>
      <c r="SNH63" s="227"/>
      <c r="SNI63" s="228"/>
      <c r="SNJ63" s="228"/>
      <c r="SNK63" s="228"/>
      <c r="SNL63" s="228"/>
      <c r="SNM63" s="228"/>
      <c r="SNN63" s="228"/>
      <c r="SNO63" s="226"/>
      <c r="SNP63" s="226"/>
      <c r="SNQ63" s="224"/>
      <c r="SNR63" s="225"/>
      <c r="SNS63" s="226"/>
      <c r="SNT63" s="227"/>
      <c r="SNU63" s="228"/>
      <c r="SNV63" s="228"/>
      <c r="SNW63" s="228"/>
      <c r="SNX63" s="228"/>
      <c r="SNY63" s="228"/>
      <c r="SNZ63" s="228"/>
      <c r="SOA63" s="226"/>
      <c r="SOB63" s="226"/>
      <c r="SOC63" s="224"/>
      <c r="SOD63" s="225"/>
      <c r="SOE63" s="226"/>
      <c r="SOF63" s="227"/>
      <c r="SOG63" s="228"/>
      <c r="SOH63" s="228"/>
      <c r="SOI63" s="228"/>
      <c r="SOJ63" s="228"/>
      <c r="SOK63" s="228"/>
      <c r="SOL63" s="228"/>
      <c r="SOM63" s="226"/>
      <c r="SON63" s="226"/>
      <c r="SOO63" s="224"/>
      <c r="SOP63" s="225"/>
      <c r="SOQ63" s="226"/>
      <c r="SOR63" s="227"/>
      <c r="SOS63" s="228"/>
      <c r="SOT63" s="228"/>
      <c r="SOU63" s="228"/>
      <c r="SOV63" s="228"/>
      <c r="SOW63" s="228"/>
      <c r="SOX63" s="228"/>
      <c r="SOY63" s="226"/>
      <c r="SOZ63" s="226"/>
      <c r="SPA63" s="224"/>
      <c r="SPB63" s="225"/>
      <c r="SPC63" s="226"/>
      <c r="SPD63" s="227"/>
      <c r="SPE63" s="228"/>
      <c r="SPF63" s="228"/>
      <c r="SPG63" s="228"/>
      <c r="SPH63" s="228"/>
      <c r="SPI63" s="228"/>
      <c r="SPJ63" s="228"/>
      <c r="SPK63" s="226"/>
      <c r="SPL63" s="226"/>
      <c r="SPM63" s="224"/>
      <c r="SPN63" s="225"/>
      <c r="SPO63" s="226"/>
      <c r="SPP63" s="227"/>
      <c r="SPQ63" s="228"/>
      <c r="SPR63" s="228"/>
      <c r="SPS63" s="228"/>
      <c r="SPT63" s="228"/>
      <c r="SPU63" s="228"/>
      <c r="SPV63" s="228"/>
      <c r="SPW63" s="226"/>
      <c r="SPX63" s="226"/>
      <c r="SPY63" s="224"/>
      <c r="SPZ63" s="225"/>
      <c r="SQA63" s="226"/>
      <c r="SQB63" s="227"/>
      <c r="SQC63" s="228"/>
      <c r="SQD63" s="228"/>
      <c r="SQE63" s="228"/>
      <c r="SQF63" s="228"/>
      <c r="SQG63" s="228"/>
      <c r="SQH63" s="228"/>
      <c r="SQI63" s="226"/>
      <c r="SQJ63" s="226"/>
      <c r="SQK63" s="224"/>
      <c r="SQL63" s="225"/>
      <c r="SQM63" s="226"/>
      <c r="SQN63" s="227"/>
      <c r="SQO63" s="228"/>
      <c r="SQP63" s="228"/>
      <c r="SQQ63" s="228"/>
      <c r="SQR63" s="228"/>
      <c r="SQS63" s="228"/>
      <c r="SQT63" s="228"/>
      <c r="SQU63" s="226"/>
      <c r="SQV63" s="226"/>
      <c r="SQW63" s="224"/>
      <c r="SQX63" s="225"/>
      <c r="SQY63" s="226"/>
      <c r="SQZ63" s="227"/>
      <c r="SRA63" s="228"/>
      <c r="SRB63" s="228"/>
      <c r="SRC63" s="228"/>
      <c r="SRD63" s="228"/>
      <c r="SRE63" s="228"/>
      <c r="SRF63" s="228"/>
      <c r="SRG63" s="226"/>
      <c r="SRH63" s="226"/>
      <c r="SRI63" s="224"/>
      <c r="SRJ63" s="225"/>
      <c r="SRK63" s="226"/>
      <c r="SRL63" s="227"/>
      <c r="SRM63" s="228"/>
      <c r="SRN63" s="228"/>
      <c r="SRO63" s="228"/>
      <c r="SRP63" s="228"/>
      <c r="SRQ63" s="228"/>
      <c r="SRR63" s="228"/>
      <c r="SRS63" s="226"/>
      <c r="SRT63" s="226"/>
      <c r="SRU63" s="224"/>
      <c r="SRV63" s="225"/>
      <c r="SRW63" s="226"/>
      <c r="SRX63" s="227"/>
      <c r="SRY63" s="228"/>
      <c r="SRZ63" s="228"/>
      <c r="SSA63" s="228"/>
      <c r="SSB63" s="228"/>
      <c r="SSC63" s="228"/>
      <c r="SSD63" s="228"/>
      <c r="SSE63" s="226"/>
      <c r="SSF63" s="226"/>
      <c r="SSG63" s="224"/>
      <c r="SSH63" s="225"/>
      <c r="SSI63" s="226"/>
      <c r="SSJ63" s="227"/>
      <c r="SSK63" s="228"/>
      <c r="SSL63" s="228"/>
      <c r="SSM63" s="228"/>
      <c r="SSN63" s="228"/>
      <c r="SSO63" s="228"/>
      <c r="SSP63" s="228"/>
      <c r="SSQ63" s="226"/>
      <c r="SSR63" s="226"/>
      <c r="SSS63" s="224"/>
      <c r="SST63" s="225"/>
      <c r="SSU63" s="226"/>
      <c r="SSV63" s="227"/>
      <c r="SSW63" s="228"/>
      <c r="SSX63" s="228"/>
      <c r="SSY63" s="228"/>
      <c r="SSZ63" s="228"/>
      <c r="STA63" s="228"/>
      <c r="STB63" s="228"/>
      <c r="STC63" s="226"/>
      <c r="STD63" s="226"/>
      <c r="STE63" s="224"/>
      <c r="STF63" s="225"/>
      <c r="STG63" s="226"/>
      <c r="STH63" s="227"/>
      <c r="STI63" s="228"/>
      <c r="STJ63" s="228"/>
      <c r="STK63" s="228"/>
      <c r="STL63" s="228"/>
      <c r="STM63" s="228"/>
      <c r="STN63" s="228"/>
      <c r="STO63" s="226"/>
      <c r="STP63" s="226"/>
      <c r="STQ63" s="224"/>
      <c r="STR63" s="225"/>
      <c r="STS63" s="226"/>
      <c r="STT63" s="227"/>
      <c r="STU63" s="228"/>
      <c r="STV63" s="228"/>
      <c r="STW63" s="228"/>
      <c r="STX63" s="228"/>
      <c r="STY63" s="228"/>
      <c r="STZ63" s="228"/>
      <c r="SUA63" s="226"/>
      <c r="SUB63" s="226"/>
      <c r="SUC63" s="224"/>
      <c r="SUD63" s="225"/>
      <c r="SUE63" s="226"/>
      <c r="SUF63" s="227"/>
      <c r="SUG63" s="228"/>
      <c r="SUH63" s="228"/>
      <c r="SUI63" s="228"/>
      <c r="SUJ63" s="228"/>
      <c r="SUK63" s="228"/>
      <c r="SUL63" s="228"/>
      <c r="SUM63" s="226"/>
      <c r="SUN63" s="226"/>
      <c r="SUO63" s="224"/>
      <c r="SUP63" s="225"/>
      <c r="SUQ63" s="226"/>
      <c r="SUR63" s="227"/>
      <c r="SUS63" s="228"/>
      <c r="SUT63" s="228"/>
      <c r="SUU63" s="228"/>
      <c r="SUV63" s="228"/>
      <c r="SUW63" s="228"/>
      <c r="SUX63" s="228"/>
      <c r="SUY63" s="226"/>
      <c r="SUZ63" s="226"/>
      <c r="SVA63" s="224"/>
      <c r="SVB63" s="225"/>
      <c r="SVC63" s="226"/>
      <c r="SVD63" s="227"/>
      <c r="SVE63" s="228"/>
      <c r="SVF63" s="228"/>
      <c r="SVG63" s="228"/>
      <c r="SVH63" s="228"/>
      <c r="SVI63" s="228"/>
      <c r="SVJ63" s="228"/>
      <c r="SVK63" s="226"/>
      <c r="SVL63" s="226"/>
      <c r="SVM63" s="224"/>
      <c r="SVN63" s="225"/>
      <c r="SVO63" s="226"/>
      <c r="SVP63" s="227"/>
      <c r="SVQ63" s="228"/>
      <c r="SVR63" s="228"/>
      <c r="SVS63" s="228"/>
      <c r="SVT63" s="228"/>
      <c r="SVU63" s="228"/>
      <c r="SVV63" s="228"/>
      <c r="SVW63" s="226"/>
      <c r="SVX63" s="226"/>
      <c r="SVY63" s="224"/>
      <c r="SVZ63" s="225"/>
      <c r="SWA63" s="226"/>
      <c r="SWB63" s="227"/>
      <c r="SWC63" s="228"/>
      <c r="SWD63" s="228"/>
      <c r="SWE63" s="228"/>
      <c r="SWF63" s="228"/>
      <c r="SWG63" s="228"/>
      <c r="SWH63" s="228"/>
      <c r="SWI63" s="226"/>
      <c r="SWJ63" s="226"/>
      <c r="SWK63" s="224"/>
      <c r="SWL63" s="225"/>
      <c r="SWM63" s="226"/>
      <c r="SWN63" s="227"/>
      <c r="SWO63" s="228"/>
      <c r="SWP63" s="228"/>
      <c r="SWQ63" s="228"/>
      <c r="SWR63" s="228"/>
      <c r="SWS63" s="228"/>
      <c r="SWT63" s="228"/>
      <c r="SWU63" s="226"/>
      <c r="SWV63" s="226"/>
      <c r="SWW63" s="224"/>
      <c r="SWX63" s="225"/>
      <c r="SWY63" s="226"/>
      <c r="SWZ63" s="227"/>
      <c r="SXA63" s="228"/>
      <c r="SXB63" s="228"/>
      <c r="SXC63" s="228"/>
      <c r="SXD63" s="228"/>
      <c r="SXE63" s="228"/>
      <c r="SXF63" s="228"/>
      <c r="SXG63" s="226"/>
      <c r="SXH63" s="226"/>
      <c r="SXI63" s="224"/>
      <c r="SXJ63" s="225"/>
      <c r="SXK63" s="226"/>
      <c r="SXL63" s="227"/>
      <c r="SXM63" s="228"/>
      <c r="SXN63" s="228"/>
      <c r="SXO63" s="228"/>
      <c r="SXP63" s="228"/>
      <c r="SXQ63" s="228"/>
      <c r="SXR63" s="228"/>
      <c r="SXS63" s="226"/>
      <c r="SXT63" s="226"/>
      <c r="SXU63" s="224"/>
      <c r="SXV63" s="225"/>
      <c r="SXW63" s="226"/>
      <c r="SXX63" s="227"/>
      <c r="SXY63" s="228"/>
      <c r="SXZ63" s="228"/>
      <c r="SYA63" s="228"/>
      <c r="SYB63" s="228"/>
      <c r="SYC63" s="228"/>
      <c r="SYD63" s="228"/>
      <c r="SYE63" s="226"/>
      <c r="SYF63" s="226"/>
      <c r="SYG63" s="224"/>
      <c r="SYH63" s="225"/>
      <c r="SYI63" s="226"/>
      <c r="SYJ63" s="227"/>
      <c r="SYK63" s="228"/>
      <c r="SYL63" s="228"/>
      <c r="SYM63" s="228"/>
      <c r="SYN63" s="228"/>
      <c r="SYO63" s="228"/>
      <c r="SYP63" s="228"/>
      <c r="SYQ63" s="226"/>
      <c r="SYR63" s="226"/>
      <c r="SYS63" s="224"/>
      <c r="SYT63" s="225"/>
      <c r="SYU63" s="226"/>
      <c r="SYV63" s="227"/>
      <c r="SYW63" s="228"/>
      <c r="SYX63" s="228"/>
      <c r="SYY63" s="228"/>
      <c r="SYZ63" s="228"/>
      <c r="SZA63" s="228"/>
      <c r="SZB63" s="228"/>
      <c r="SZC63" s="226"/>
      <c r="SZD63" s="226"/>
      <c r="SZE63" s="224"/>
      <c r="SZF63" s="225"/>
      <c r="SZG63" s="226"/>
      <c r="SZH63" s="227"/>
      <c r="SZI63" s="228"/>
      <c r="SZJ63" s="228"/>
      <c r="SZK63" s="228"/>
      <c r="SZL63" s="228"/>
      <c r="SZM63" s="228"/>
      <c r="SZN63" s="228"/>
      <c r="SZO63" s="226"/>
      <c r="SZP63" s="226"/>
      <c r="SZQ63" s="224"/>
      <c r="SZR63" s="225"/>
      <c r="SZS63" s="226"/>
      <c r="SZT63" s="227"/>
      <c r="SZU63" s="228"/>
      <c r="SZV63" s="228"/>
      <c r="SZW63" s="228"/>
      <c r="SZX63" s="228"/>
      <c r="SZY63" s="228"/>
      <c r="SZZ63" s="228"/>
      <c r="TAA63" s="226"/>
      <c r="TAB63" s="226"/>
      <c r="TAC63" s="224"/>
      <c r="TAD63" s="225"/>
      <c r="TAE63" s="226"/>
      <c r="TAF63" s="227"/>
      <c r="TAG63" s="228"/>
      <c r="TAH63" s="228"/>
      <c r="TAI63" s="228"/>
      <c r="TAJ63" s="228"/>
      <c r="TAK63" s="228"/>
      <c r="TAL63" s="228"/>
      <c r="TAM63" s="226"/>
      <c r="TAN63" s="226"/>
      <c r="TAO63" s="224"/>
      <c r="TAP63" s="225"/>
      <c r="TAQ63" s="226"/>
      <c r="TAR63" s="227"/>
      <c r="TAS63" s="228"/>
      <c r="TAT63" s="228"/>
      <c r="TAU63" s="228"/>
      <c r="TAV63" s="228"/>
      <c r="TAW63" s="228"/>
      <c r="TAX63" s="228"/>
      <c r="TAY63" s="226"/>
      <c r="TAZ63" s="226"/>
      <c r="TBA63" s="224"/>
      <c r="TBB63" s="225"/>
      <c r="TBC63" s="226"/>
      <c r="TBD63" s="227"/>
      <c r="TBE63" s="228"/>
      <c r="TBF63" s="228"/>
      <c r="TBG63" s="228"/>
      <c r="TBH63" s="228"/>
      <c r="TBI63" s="228"/>
      <c r="TBJ63" s="228"/>
      <c r="TBK63" s="226"/>
      <c r="TBL63" s="226"/>
      <c r="TBM63" s="224"/>
      <c r="TBN63" s="225"/>
      <c r="TBO63" s="226"/>
      <c r="TBP63" s="227"/>
      <c r="TBQ63" s="228"/>
      <c r="TBR63" s="228"/>
      <c r="TBS63" s="228"/>
      <c r="TBT63" s="228"/>
      <c r="TBU63" s="228"/>
      <c r="TBV63" s="228"/>
      <c r="TBW63" s="226"/>
      <c r="TBX63" s="226"/>
      <c r="TBY63" s="224"/>
      <c r="TBZ63" s="225"/>
      <c r="TCA63" s="226"/>
      <c r="TCB63" s="227"/>
      <c r="TCC63" s="228"/>
      <c r="TCD63" s="228"/>
      <c r="TCE63" s="228"/>
      <c r="TCF63" s="228"/>
      <c r="TCG63" s="228"/>
      <c r="TCH63" s="228"/>
      <c r="TCI63" s="226"/>
      <c r="TCJ63" s="226"/>
      <c r="TCK63" s="224"/>
      <c r="TCL63" s="225"/>
      <c r="TCM63" s="226"/>
      <c r="TCN63" s="227"/>
      <c r="TCO63" s="228"/>
      <c r="TCP63" s="228"/>
      <c r="TCQ63" s="228"/>
      <c r="TCR63" s="228"/>
      <c r="TCS63" s="228"/>
      <c r="TCT63" s="228"/>
      <c r="TCU63" s="226"/>
      <c r="TCV63" s="226"/>
      <c r="TCW63" s="224"/>
      <c r="TCX63" s="225"/>
      <c r="TCY63" s="226"/>
      <c r="TCZ63" s="227"/>
      <c r="TDA63" s="228"/>
      <c r="TDB63" s="228"/>
      <c r="TDC63" s="228"/>
      <c r="TDD63" s="228"/>
      <c r="TDE63" s="228"/>
      <c r="TDF63" s="228"/>
      <c r="TDG63" s="226"/>
      <c r="TDH63" s="226"/>
      <c r="TDI63" s="224"/>
      <c r="TDJ63" s="225"/>
      <c r="TDK63" s="226"/>
      <c r="TDL63" s="227"/>
      <c r="TDM63" s="228"/>
      <c r="TDN63" s="228"/>
      <c r="TDO63" s="228"/>
      <c r="TDP63" s="228"/>
      <c r="TDQ63" s="228"/>
      <c r="TDR63" s="228"/>
      <c r="TDS63" s="226"/>
      <c r="TDT63" s="226"/>
      <c r="TDU63" s="224"/>
      <c r="TDV63" s="225"/>
      <c r="TDW63" s="226"/>
      <c r="TDX63" s="227"/>
      <c r="TDY63" s="228"/>
      <c r="TDZ63" s="228"/>
      <c r="TEA63" s="228"/>
      <c r="TEB63" s="228"/>
      <c r="TEC63" s="228"/>
      <c r="TED63" s="228"/>
      <c r="TEE63" s="226"/>
      <c r="TEF63" s="226"/>
      <c r="TEG63" s="224"/>
      <c r="TEH63" s="225"/>
      <c r="TEI63" s="226"/>
      <c r="TEJ63" s="227"/>
      <c r="TEK63" s="228"/>
      <c r="TEL63" s="228"/>
      <c r="TEM63" s="228"/>
      <c r="TEN63" s="228"/>
      <c r="TEO63" s="228"/>
      <c r="TEP63" s="228"/>
      <c r="TEQ63" s="226"/>
      <c r="TER63" s="226"/>
      <c r="TES63" s="224"/>
      <c r="TET63" s="225"/>
      <c r="TEU63" s="226"/>
      <c r="TEV63" s="227"/>
      <c r="TEW63" s="228"/>
      <c r="TEX63" s="228"/>
      <c r="TEY63" s="228"/>
      <c r="TEZ63" s="228"/>
      <c r="TFA63" s="228"/>
      <c r="TFB63" s="228"/>
      <c r="TFC63" s="226"/>
      <c r="TFD63" s="226"/>
      <c r="TFE63" s="224"/>
      <c r="TFF63" s="225"/>
      <c r="TFG63" s="226"/>
      <c r="TFH63" s="227"/>
      <c r="TFI63" s="228"/>
      <c r="TFJ63" s="228"/>
      <c r="TFK63" s="228"/>
      <c r="TFL63" s="228"/>
      <c r="TFM63" s="228"/>
      <c r="TFN63" s="228"/>
      <c r="TFO63" s="226"/>
      <c r="TFP63" s="226"/>
      <c r="TFQ63" s="224"/>
      <c r="TFR63" s="225"/>
      <c r="TFS63" s="226"/>
      <c r="TFT63" s="227"/>
      <c r="TFU63" s="228"/>
      <c r="TFV63" s="228"/>
      <c r="TFW63" s="228"/>
      <c r="TFX63" s="228"/>
      <c r="TFY63" s="228"/>
      <c r="TFZ63" s="228"/>
      <c r="TGA63" s="226"/>
      <c r="TGB63" s="226"/>
      <c r="TGC63" s="224"/>
      <c r="TGD63" s="225"/>
      <c r="TGE63" s="226"/>
      <c r="TGF63" s="227"/>
      <c r="TGG63" s="228"/>
      <c r="TGH63" s="228"/>
      <c r="TGI63" s="228"/>
      <c r="TGJ63" s="228"/>
      <c r="TGK63" s="228"/>
      <c r="TGL63" s="228"/>
      <c r="TGM63" s="226"/>
      <c r="TGN63" s="226"/>
      <c r="TGO63" s="224"/>
      <c r="TGP63" s="225"/>
      <c r="TGQ63" s="226"/>
      <c r="TGR63" s="227"/>
      <c r="TGS63" s="228"/>
      <c r="TGT63" s="228"/>
      <c r="TGU63" s="228"/>
      <c r="TGV63" s="228"/>
      <c r="TGW63" s="228"/>
      <c r="TGX63" s="228"/>
      <c r="TGY63" s="226"/>
      <c r="TGZ63" s="226"/>
      <c r="THA63" s="224"/>
      <c r="THB63" s="225"/>
      <c r="THC63" s="226"/>
      <c r="THD63" s="227"/>
      <c r="THE63" s="228"/>
      <c r="THF63" s="228"/>
      <c r="THG63" s="228"/>
      <c r="THH63" s="228"/>
      <c r="THI63" s="228"/>
      <c r="THJ63" s="228"/>
      <c r="THK63" s="226"/>
      <c r="THL63" s="226"/>
      <c r="THM63" s="224"/>
      <c r="THN63" s="225"/>
      <c r="THO63" s="226"/>
      <c r="THP63" s="227"/>
      <c r="THQ63" s="228"/>
      <c r="THR63" s="228"/>
      <c r="THS63" s="228"/>
      <c r="THT63" s="228"/>
      <c r="THU63" s="228"/>
      <c r="THV63" s="228"/>
      <c r="THW63" s="226"/>
      <c r="THX63" s="226"/>
      <c r="THY63" s="224"/>
      <c r="THZ63" s="225"/>
      <c r="TIA63" s="226"/>
      <c r="TIB63" s="227"/>
      <c r="TIC63" s="228"/>
      <c r="TID63" s="228"/>
      <c r="TIE63" s="228"/>
      <c r="TIF63" s="228"/>
      <c r="TIG63" s="228"/>
      <c r="TIH63" s="228"/>
      <c r="TII63" s="226"/>
      <c r="TIJ63" s="226"/>
      <c r="TIK63" s="224"/>
      <c r="TIL63" s="225"/>
      <c r="TIM63" s="226"/>
      <c r="TIN63" s="227"/>
      <c r="TIO63" s="228"/>
      <c r="TIP63" s="228"/>
      <c r="TIQ63" s="228"/>
      <c r="TIR63" s="228"/>
      <c r="TIS63" s="228"/>
      <c r="TIT63" s="228"/>
      <c r="TIU63" s="226"/>
      <c r="TIV63" s="226"/>
      <c r="TIW63" s="224"/>
      <c r="TIX63" s="225"/>
      <c r="TIY63" s="226"/>
      <c r="TIZ63" s="227"/>
      <c r="TJA63" s="228"/>
      <c r="TJB63" s="228"/>
      <c r="TJC63" s="228"/>
      <c r="TJD63" s="228"/>
      <c r="TJE63" s="228"/>
      <c r="TJF63" s="228"/>
      <c r="TJG63" s="226"/>
      <c r="TJH63" s="226"/>
      <c r="TJI63" s="224"/>
      <c r="TJJ63" s="225"/>
      <c r="TJK63" s="226"/>
      <c r="TJL63" s="227"/>
      <c r="TJM63" s="228"/>
      <c r="TJN63" s="228"/>
      <c r="TJO63" s="228"/>
      <c r="TJP63" s="228"/>
      <c r="TJQ63" s="228"/>
      <c r="TJR63" s="228"/>
      <c r="TJS63" s="226"/>
      <c r="TJT63" s="226"/>
      <c r="TJU63" s="224"/>
      <c r="TJV63" s="225"/>
      <c r="TJW63" s="226"/>
      <c r="TJX63" s="227"/>
      <c r="TJY63" s="228"/>
      <c r="TJZ63" s="228"/>
      <c r="TKA63" s="228"/>
      <c r="TKB63" s="228"/>
      <c r="TKC63" s="228"/>
      <c r="TKD63" s="228"/>
      <c r="TKE63" s="226"/>
      <c r="TKF63" s="226"/>
      <c r="TKG63" s="224"/>
      <c r="TKH63" s="225"/>
      <c r="TKI63" s="226"/>
      <c r="TKJ63" s="227"/>
      <c r="TKK63" s="228"/>
      <c r="TKL63" s="228"/>
      <c r="TKM63" s="228"/>
      <c r="TKN63" s="228"/>
      <c r="TKO63" s="228"/>
      <c r="TKP63" s="228"/>
      <c r="TKQ63" s="226"/>
      <c r="TKR63" s="226"/>
      <c r="TKS63" s="224"/>
      <c r="TKT63" s="225"/>
      <c r="TKU63" s="226"/>
      <c r="TKV63" s="227"/>
      <c r="TKW63" s="228"/>
      <c r="TKX63" s="228"/>
      <c r="TKY63" s="228"/>
      <c r="TKZ63" s="228"/>
      <c r="TLA63" s="228"/>
      <c r="TLB63" s="228"/>
      <c r="TLC63" s="226"/>
      <c r="TLD63" s="226"/>
      <c r="TLE63" s="224"/>
      <c r="TLF63" s="225"/>
      <c r="TLG63" s="226"/>
      <c r="TLH63" s="227"/>
      <c r="TLI63" s="228"/>
      <c r="TLJ63" s="228"/>
      <c r="TLK63" s="228"/>
      <c r="TLL63" s="228"/>
      <c r="TLM63" s="228"/>
      <c r="TLN63" s="228"/>
      <c r="TLO63" s="226"/>
      <c r="TLP63" s="226"/>
      <c r="TLQ63" s="224"/>
      <c r="TLR63" s="225"/>
      <c r="TLS63" s="226"/>
      <c r="TLT63" s="227"/>
      <c r="TLU63" s="228"/>
      <c r="TLV63" s="228"/>
      <c r="TLW63" s="228"/>
      <c r="TLX63" s="228"/>
      <c r="TLY63" s="228"/>
      <c r="TLZ63" s="228"/>
      <c r="TMA63" s="226"/>
      <c r="TMB63" s="226"/>
      <c r="TMC63" s="224"/>
      <c r="TMD63" s="225"/>
      <c r="TME63" s="226"/>
      <c r="TMF63" s="227"/>
      <c r="TMG63" s="228"/>
      <c r="TMH63" s="228"/>
      <c r="TMI63" s="228"/>
      <c r="TMJ63" s="228"/>
      <c r="TMK63" s="228"/>
      <c r="TML63" s="228"/>
      <c r="TMM63" s="226"/>
      <c r="TMN63" s="226"/>
      <c r="TMO63" s="224"/>
      <c r="TMP63" s="225"/>
      <c r="TMQ63" s="226"/>
      <c r="TMR63" s="227"/>
      <c r="TMS63" s="228"/>
      <c r="TMT63" s="228"/>
      <c r="TMU63" s="228"/>
      <c r="TMV63" s="228"/>
      <c r="TMW63" s="228"/>
      <c r="TMX63" s="228"/>
      <c r="TMY63" s="226"/>
      <c r="TMZ63" s="226"/>
      <c r="TNA63" s="224"/>
      <c r="TNB63" s="225"/>
      <c r="TNC63" s="226"/>
      <c r="TND63" s="227"/>
      <c r="TNE63" s="228"/>
      <c r="TNF63" s="228"/>
      <c r="TNG63" s="228"/>
      <c r="TNH63" s="228"/>
      <c r="TNI63" s="228"/>
      <c r="TNJ63" s="228"/>
      <c r="TNK63" s="226"/>
      <c r="TNL63" s="226"/>
      <c r="TNM63" s="224"/>
      <c r="TNN63" s="225"/>
      <c r="TNO63" s="226"/>
      <c r="TNP63" s="227"/>
      <c r="TNQ63" s="228"/>
      <c r="TNR63" s="228"/>
      <c r="TNS63" s="228"/>
      <c r="TNT63" s="228"/>
      <c r="TNU63" s="228"/>
      <c r="TNV63" s="228"/>
      <c r="TNW63" s="226"/>
      <c r="TNX63" s="226"/>
      <c r="TNY63" s="224"/>
      <c r="TNZ63" s="225"/>
      <c r="TOA63" s="226"/>
      <c r="TOB63" s="227"/>
      <c r="TOC63" s="228"/>
      <c r="TOD63" s="228"/>
      <c r="TOE63" s="228"/>
      <c r="TOF63" s="228"/>
      <c r="TOG63" s="228"/>
      <c r="TOH63" s="228"/>
      <c r="TOI63" s="226"/>
      <c r="TOJ63" s="226"/>
      <c r="TOK63" s="224"/>
      <c r="TOL63" s="225"/>
      <c r="TOM63" s="226"/>
      <c r="TON63" s="227"/>
      <c r="TOO63" s="228"/>
      <c r="TOP63" s="228"/>
      <c r="TOQ63" s="228"/>
      <c r="TOR63" s="228"/>
      <c r="TOS63" s="228"/>
      <c r="TOT63" s="228"/>
      <c r="TOU63" s="226"/>
      <c r="TOV63" s="226"/>
      <c r="TOW63" s="224"/>
      <c r="TOX63" s="225"/>
      <c r="TOY63" s="226"/>
      <c r="TOZ63" s="227"/>
      <c r="TPA63" s="228"/>
      <c r="TPB63" s="228"/>
      <c r="TPC63" s="228"/>
      <c r="TPD63" s="228"/>
      <c r="TPE63" s="228"/>
      <c r="TPF63" s="228"/>
      <c r="TPG63" s="226"/>
      <c r="TPH63" s="226"/>
      <c r="TPI63" s="224"/>
      <c r="TPJ63" s="225"/>
      <c r="TPK63" s="226"/>
      <c r="TPL63" s="227"/>
      <c r="TPM63" s="228"/>
      <c r="TPN63" s="228"/>
      <c r="TPO63" s="228"/>
      <c r="TPP63" s="228"/>
      <c r="TPQ63" s="228"/>
      <c r="TPR63" s="228"/>
      <c r="TPS63" s="226"/>
      <c r="TPT63" s="226"/>
      <c r="TPU63" s="224"/>
      <c r="TPV63" s="225"/>
      <c r="TPW63" s="226"/>
      <c r="TPX63" s="227"/>
      <c r="TPY63" s="228"/>
      <c r="TPZ63" s="228"/>
      <c r="TQA63" s="228"/>
      <c r="TQB63" s="228"/>
      <c r="TQC63" s="228"/>
      <c r="TQD63" s="228"/>
      <c r="TQE63" s="226"/>
      <c r="TQF63" s="226"/>
      <c r="TQG63" s="224"/>
      <c r="TQH63" s="225"/>
      <c r="TQI63" s="226"/>
      <c r="TQJ63" s="227"/>
      <c r="TQK63" s="228"/>
      <c r="TQL63" s="228"/>
      <c r="TQM63" s="228"/>
      <c r="TQN63" s="228"/>
      <c r="TQO63" s="228"/>
      <c r="TQP63" s="228"/>
      <c r="TQQ63" s="226"/>
      <c r="TQR63" s="226"/>
      <c r="TQS63" s="224"/>
      <c r="TQT63" s="225"/>
      <c r="TQU63" s="226"/>
      <c r="TQV63" s="227"/>
      <c r="TQW63" s="228"/>
      <c r="TQX63" s="228"/>
      <c r="TQY63" s="228"/>
      <c r="TQZ63" s="228"/>
      <c r="TRA63" s="228"/>
      <c r="TRB63" s="228"/>
      <c r="TRC63" s="226"/>
      <c r="TRD63" s="226"/>
      <c r="TRE63" s="224"/>
      <c r="TRF63" s="225"/>
      <c r="TRG63" s="226"/>
      <c r="TRH63" s="227"/>
      <c r="TRI63" s="228"/>
      <c r="TRJ63" s="228"/>
      <c r="TRK63" s="228"/>
      <c r="TRL63" s="228"/>
      <c r="TRM63" s="228"/>
      <c r="TRN63" s="228"/>
      <c r="TRO63" s="226"/>
      <c r="TRP63" s="226"/>
      <c r="TRQ63" s="224"/>
      <c r="TRR63" s="225"/>
      <c r="TRS63" s="226"/>
      <c r="TRT63" s="227"/>
      <c r="TRU63" s="228"/>
      <c r="TRV63" s="228"/>
      <c r="TRW63" s="228"/>
      <c r="TRX63" s="228"/>
      <c r="TRY63" s="228"/>
      <c r="TRZ63" s="228"/>
      <c r="TSA63" s="226"/>
      <c r="TSB63" s="226"/>
      <c r="TSC63" s="224"/>
      <c r="TSD63" s="225"/>
      <c r="TSE63" s="226"/>
      <c r="TSF63" s="227"/>
      <c r="TSG63" s="228"/>
      <c r="TSH63" s="228"/>
      <c r="TSI63" s="228"/>
      <c r="TSJ63" s="228"/>
      <c r="TSK63" s="228"/>
      <c r="TSL63" s="228"/>
      <c r="TSM63" s="226"/>
      <c r="TSN63" s="226"/>
      <c r="TSO63" s="224"/>
      <c r="TSP63" s="225"/>
      <c r="TSQ63" s="226"/>
      <c r="TSR63" s="227"/>
      <c r="TSS63" s="228"/>
      <c r="TST63" s="228"/>
      <c r="TSU63" s="228"/>
      <c r="TSV63" s="228"/>
      <c r="TSW63" s="228"/>
      <c r="TSX63" s="228"/>
      <c r="TSY63" s="226"/>
      <c r="TSZ63" s="226"/>
      <c r="TTA63" s="224"/>
      <c r="TTB63" s="225"/>
      <c r="TTC63" s="226"/>
      <c r="TTD63" s="227"/>
      <c r="TTE63" s="228"/>
      <c r="TTF63" s="228"/>
      <c r="TTG63" s="228"/>
      <c r="TTH63" s="228"/>
      <c r="TTI63" s="228"/>
      <c r="TTJ63" s="228"/>
      <c r="TTK63" s="226"/>
      <c r="TTL63" s="226"/>
      <c r="TTM63" s="224"/>
      <c r="TTN63" s="225"/>
      <c r="TTO63" s="226"/>
      <c r="TTP63" s="227"/>
      <c r="TTQ63" s="228"/>
      <c r="TTR63" s="228"/>
      <c r="TTS63" s="228"/>
      <c r="TTT63" s="228"/>
      <c r="TTU63" s="228"/>
      <c r="TTV63" s="228"/>
      <c r="TTW63" s="226"/>
      <c r="TTX63" s="226"/>
      <c r="TTY63" s="224"/>
      <c r="TTZ63" s="225"/>
      <c r="TUA63" s="226"/>
      <c r="TUB63" s="227"/>
      <c r="TUC63" s="228"/>
      <c r="TUD63" s="228"/>
      <c r="TUE63" s="228"/>
      <c r="TUF63" s="228"/>
      <c r="TUG63" s="228"/>
      <c r="TUH63" s="228"/>
      <c r="TUI63" s="226"/>
      <c r="TUJ63" s="226"/>
      <c r="TUK63" s="224"/>
      <c r="TUL63" s="225"/>
      <c r="TUM63" s="226"/>
      <c r="TUN63" s="227"/>
      <c r="TUO63" s="228"/>
      <c r="TUP63" s="228"/>
      <c r="TUQ63" s="228"/>
      <c r="TUR63" s="228"/>
      <c r="TUS63" s="228"/>
      <c r="TUT63" s="228"/>
      <c r="TUU63" s="226"/>
      <c r="TUV63" s="226"/>
      <c r="TUW63" s="224"/>
      <c r="TUX63" s="225"/>
      <c r="TUY63" s="226"/>
      <c r="TUZ63" s="227"/>
      <c r="TVA63" s="228"/>
      <c r="TVB63" s="228"/>
      <c r="TVC63" s="228"/>
      <c r="TVD63" s="228"/>
      <c r="TVE63" s="228"/>
      <c r="TVF63" s="228"/>
      <c r="TVG63" s="226"/>
      <c r="TVH63" s="226"/>
      <c r="TVI63" s="224"/>
      <c r="TVJ63" s="225"/>
      <c r="TVK63" s="226"/>
      <c r="TVL63" s="227"/>
      <c r="TVM63" s="228"/>
      <c r="TVN63" s="228"/>
      <c r="TVO63" s="228"/>
      <c r="TVP63" s="228"/>
      <c r="TVQ63" s="228"/>
      <c r="TVR63" s="228"/>
      <c r="TVS63" s="226"/>
      <c r="TVT63" s="226"/>
      <c r="TVU63" s="224"/>
      <c r="TVV63" s="225"/>
      <c r="TVW63" s="226"/>
      <c r="TVX63" s="227"/>
      <c r="TVY63" s="228"/>
      <c r="TVZ63" s="228"/>
      <c r="TWA63" s="228"/>
      <c r="TWB63" s="228"/>
      <c r="TWC63" s="228"/>
      <c r="TWD63" s="228"/>
      <c r="TWE63" s="226"/>
      <c r="TWF63" s="226"/>
      <c r="TWG63" s="224"/>
      <c r="TWH63" s="225"/>
      <c r="TWI63" s="226"/>
      <c r="TWJ63" s="227"/>
      <c r="TWK63" s="228"/>
      <c r="TWL63" s="228"/>
      <c r="TWM63" s="228"/>
      <c r="TWN63" s="228"/>
      <c r="TWO63" s="228"/>
      <c r="TWP63" s="228"/>
      <c r="TWQ63" s="226"/>
      <c r="TWR63" s="226"/>
      <c r="TWS63" s="224"/>
      <c r="TWT63" s="225"/>
      <c r="TWU63" s="226"/>
      <c r="TWV63" s="227"/>
      <c r="TWW63" s="228"/>
      <c r="TWX63" s="228"/>
      <c r="TWY63" s="228"/>
      <c r="TWZ63" s="228"/>
      <c r="TXA63" s="228"/>
      <c r="TXB63" s="228"/>
      <c r="TXC63" s="226"/>
      <c r="TXD63" s="226"/>
      <c r="TXE63" s="224"/>
      <c r="TXF63" s="225"/>
      <c r="TXG63" s="226"/>
      <c r="TXH63" s="227"/>
      <c r="TXI63" s="228"/>
      <c r="TXJ63" s="228"/>
      <c r="TXK63" s="228"/>
      <c r="TXL63" s="228"/>
      <c r="TXM63" s="228"/>
      <c r="TXN63" s="228"/>
      <c r="TXO63" s="226"/>
      <c r="TXP63" s="226"/>
      <c r="TXQ63" s="224"/>
      <c r="TXR63" s="225"/>
      <c r="TXS63" s="226"/>
      <c r="TXT63" s="227"/>
      <c r="TXU63" s="228"/>
      <c r="TXV63" s="228"/>
      <c r="TXW63" s="228"/>
      <c r="TXX63" s="228"/>
      <c r="TXY63" s="228"/>
      <c r="TXZ63" s="228"/>
      <c r="TYA63" s="226"/>
      <c r="TYB63" s="226"/>
      <c r="TYC63" s="224"/>
      <c r="TYD63" s="225"/>
      <c r="TYE63" s="226"/>
      <c r="TYF63" s="227"/>
      <c r="TYG63" s="228"/>
      <c r="TYH63" s="228"/>
      <c r="TYI63" s="228"/>
      <c r="TYJ63" s="228"/>
      <c r="TYK63" s="228"/>
      <c r="TYL63" s="228"/>
      <c r="TYM63" s="226"/>
      <c r="TYN63" s="226"/>
      <c r="TYO63" s="224"/>
      <c r="TYP63" s="225"/>
      <c r="TYQ63" s="226"/>
      <c r="TYR63" s="227"/>
      <c r="TYS63" s="228"/>
      <c r="TYT63" s="228"/>
      <c r="TYU63" s="228"/>
      <c r="TYV63" s="228"/>
      <c r="TYW63" s="228"/>
      <c r="TYX63" s="228"/>
      <c r="TYY63" s="226"/>
      <c r="TYZ63" s="226"/>
      <c r="TZA63" s="224"/>
      <c r="TZB63" s="225"/>
      <c r="TZC63" s="226"/>
      <c r="TZD63" s="227"/>
      <c r="TZE63" s="228"/>
      <c r="TZF63" s="228"/>
      <c r="TZG63" s="228"/>
      <c r="TZH63" s="228"/>
      <c r="TZI63" s="228"/>
      <c r="TZJ63" s="228"/>
      <c r="TZK63" s="226"/>
      <c r="TZL63" s="226"/>
      <c r="TZM63" s="224"/>
      <c r="TZN63" s="225"/>
      <c r="TZO63" s="226"/>
      <c r="TZP63" s="227"/>
      <c r="TZQ63" s="228"/>
      <c r="TZR63" s="228"/>
      <c r="TZS63" s="228"/>
      <c r="TZT63" s="228"/>
      <c r="TZU63" s="228"/>
      <c r="TZV63" s="228"/>
      <c r="TZW63" s="226"/>
      <c r="TZX63" s="226"/>
      <c r="TZY63" s="224"/>
      <c r="TZZ63" s="225"/>
      <c r="UAA63" s="226"/>
      <c r="UAB63" s="227"/>
      <c r="UAC63" s="228"/>
      <c r="UAD63" s="228"/>
      <c r="UAE63" s="228"/>
      <c r="UAF63" s="228"/>
      <c r="UAG63" s="228"/>
      <c r="UAH63" s="228"/>
      <c r="UAI63" s="226"/>
      <c r="UAJ63" s="226"/>
      <c r="UAK63" s="224"/>
      <c r="UAL63" s="225"/>
      <c r="UAM63" s="226"/>
      <c r="UAN63" s="227"/>
      <c r="UAO63" s="228"/>
      <c r="UAP63" s="228"/>
      <c r="UAQ63" s="228"/>
      <c r="UAR63" s="228"/>
      <c r="UAS63" s="228"/>
      <c r="UAT63" s="228"/>
      <c r="UAU63" s="226"/>
      <c r="UAV63" s="226"/>
      <c r="UAW63" s="224"/>
      <c r="UAX63" s="225"/>
      <c r="UAY63" s="226"/>
      <c r="UAZ63" s="227"/>
      <c r="UBA63" s="228"/>
      <c r="UBB63" s="228"/>
      <c r="UBC63" s="228"/>
      <c r="UBD63" s="228"/>
      <c r="UBE63" s="228"/>
      <c r="UBF63" s="228"/>
      <c r="UBG63" s="226"/>
      <c r="UBH63" s="226"/>
      <c r="UBI63" s="224"/>
      <c r="UBJ63" s="225"/>
      <c r="UBK63" s="226"/>
      <c r="UBL63" s="227"/>
      <c r="UBM63" s="228"/>
      <c r="UBN63" s="228"/>
      <c r="UBO63" s="228"/>
      <c r="UBP63" s="228"/>
      <c r="UBQ63" s="228"/>
      <c r="UBR63" s="228"/>
      <c r="UBS63" s="226"/>
      <c r="UBT63" s="226"/>
      <c r="UBU63" s="224"/>
      <c r="UBV63" s="225"/>
      <c r="UBW63" s="226"/>
      <c r="UBX63" s="227"/>
      <c r="UBY63" s="228"/>
      <c r="UBZ63" s="228"/>
      <c r="UCA63" s="228"/>
      <c r="UCB63" s="228"/>
      <c r="UCC63" s="228"/>
      <c r="UCD63" s="228"/>
      <c r="UCE63" s="226"/>
      <c r="UCF63" s="226"/>
      <c r="UCG63" s="224"/>
      <c r="UCH63" s="225"/>
      <c r="UCI63" s="226"/>
      <c r="UCJ63" s="227"/>
      <c r="UCK63" s="228"/>
      <c r="UCL63" s="228"/>
      <c r="UCM63" s="228"/>
      <c r="UCN63" s="228"/>
      <c r="UCO63" s="228"/>
      <c r="UCP63" s="228"/>
      <c r="UCQ63" s="226"/>
      <c r="UCR63" s="226"/>
      <c r="UCS63" s="224"/>
      <c r="UCT63" s="225"/>
      <c r="UCU63" s="226"/>
      <c r="UCV63" s="227"/>
      <c r="UCW63" s="228"/>
      <c r="UCX63" s="228"/>
      <c r="UCY63" s="228"/>
      <c r="UCZ63" s="228"/>
      <c r="UDA63" s="228"/>
      <c r="UDB63" s="228"/>
      <c r="UDC63" s="226"/>
      <c r="UDD63" s="226"/>
      <c r="UDE63" s="224"/>
      <c r="UDF63" s="225"/>
      <c r="UDG63" s="226"/>
      <c r="UDH63" s="227"/>
      <c r="UDI63" s="228"/>
      <c r="UDJ63" s="228"/>
      <c r="UDK63" s="228"/>
      <c r="UDL63" s="228"/>
      <c r="UDM63" s="228"/>
      <c r="UDN63" s="228"/>
      <c r="UDO63" s="226"/>
      <c r="UDP63" s="226"/>
      <c r="UDQ63" s="224"/>
      <c r="UDR63" s="225"/>
      <c r="UDS63" s="226"/>
      <c r="UDT63" s="227"/>
      <c r="UDU63" s="228"/>
      <c r="UDV63" s="228"/>
      <c r="UDW63" s="228"/>
      <c r="UDX63" s="228"/>
      <c r="UDY63" s="228"/>
      <c r="UDZ63" s="228"/>
      <c r="UEA63" s="226"/>
      <c r="UEB63" s="226"/>
      <c r="UEC63" s="224"/>
      <c r="UED63" s="225"/>
      <c r="UEE63" s="226"/>
      <c r="UEF63" s="227"/>
      <c r="UEG63" s="228"/>
      <c r="UEH63" s="228"/>
      <c r="UEI63" s="228"/>
      <c r="UEJ63" s="228"/>
      <c r="UEK63" s="228"/>
      <c r="UEL63" s="228"/>
      <c r="UEM63" s="226"/>
      <c r="UEN63" s="226"/>
      <c r="UEO63" s="224"/>
      <c r="UEP63" s="225"/>
      <c r="UEQ63" s="226"/>
      <c r="UER63" s="227"/>
      <c r="UES63" s="228"/>
      <c r="UET63" s="228"/>
      <c r="UEU63" s="228"/>
      <c r="UEV63" s="228"/>
      <c r="UEW63" s="228"/>
      <c r="UEX63" s="228"/>
      <c r="UEY63" s="226"/>
      <c r="UEZ63" s="226"/>
      <c r="UFA63" s="224"/>
      <c r="UFB63" s="225"/>
      <c r="UFC63" s="226"/>
      <c r="UFD63" s="227"/>
      <c r="UFE63" s="228"/>
      <c r="UFF63" s="228"/>
      <c r="UFG63" s="228"/>
      <c r="UFH63" s="228"/>
      <c r="UFI63" s="228"/>
      <c r="UFJ63" s="228"/>
      <c r="UFK63" s="226"/>
      <c r="UFL63" s="226"/>
      <c r="UFM63" s="224"/>
      <c r="UFN63" s="225"/>
      <c r="UFO63" s="226"/>
      <c r="UFP63" s="227"/>
      <c r="UFQ63" s="228"/>
      <c r="UFR63" s="228"/>
      <c r="UFS63" s="228"/>
      <c r="UFT63" s="228"/>
      <c r="UFU63" s="228"/>
      <c r="UFV63" s="228"/>
      <c r="UFW63" s="226"/>
      <c r="UFX63" s="226"/>
      <c r="UFY63" s="224"/>
      <c r="UFZ63" s="225"/>
      <c r="UGA63" s="226"/>
      <c r="UGB63" s="227"/>
      <c r="UGC63" s="228"/>
      <c r="UGD63" s="228"/>
      <c r="UGE63" s="228"/>
      <c r="UGF63" s="228"/>
      <c r="UGG63" s="228"/>
      <c r="UGH63" s="228"/>
      <c r="UGI63" s="226"/>
      <c r="UGJ63" s="226"/>
      <c r="UGK63" s="224"/>
      <c r="UGL63" s="225"/>
      <c r="UGM63" s="226"/>
      <c r="UGN63" s="227"/>
      <c r="UGO63" s="228"/>
      <c r="UGP63" s="228"/>
      <c r="UGQ63" s="228"/>
      <c r="UGR63" s="228"/>
      <c r="UGS63" s="228"/>
      <c r="UGT63" s="228"/>
      <c r="UGU63" s="226"/>
      <c r="UGV63" s="226"/>
      <c r="UGW63" s="224"/>
      <c r="UGX63" s="225"/>
      <c r="UGY63" s="226"/>
      <c r="UGZ63" s="227"/>
      <c r="UHA63" s="228"/>
      <c r="UHB63" s="228"/>
      <c r="UHC63" s="228"/>
      <c r="UHD63" s="228"/>
      <c r="UHE63" s="228"/>
      <c r="UHF63" s="228"/>
      <c r="UHG63" s="226"/>
      <c r="UHH63" s="226"/>
      <c r="UHI63" s="224"/>
      <c r="UHJ63" s="225"/>
      <c r="UHK63" s="226"/>
      <c r="UHL63" s="227"/>
      <c r="UHM63" s="228"/>
      <c r="UHN63" s="228"/>
      <c r="UHO63" s="228"/>
      <c r="UHP63" s="228"/>
      <c r="UHQ63" s="228"/>
      <c r="UHR63" s="228"/>
      <c r="UHS63" s="226"/>
      <c r="UHT63" s="226"/>
      <c r="UHU63" s="224"/>
      <c r="UHV63" s="225"/>
      <c r="UHW63" s="226"/>
      <c r="UHX63" s="227"/>
      <c r="UHY63" s="228"/>
      <c r="UHZ63" s="228"/>
      <c r="UIA63" s="228"/>
      <c r="UIB63" s="228"/>
      <c r="UIC63" s="228"/>
      <c r="UID63" s="228"/>
      <c r="UIE63" s="226"/>
      <c r="UIF63" s="226"/>
      <c r="UIG63" s="224"/>
      <c r="UIH63" s="225"/>
      <c r="UII63" s="226"/>
      <c r="UIJ63" s="227"/>
      <c r="UIK63" s="228"/>
      <c r="UIL63" s="228"/>
      <c r="UIM63" s="228"/>
      <c r="UIN63" s="228"/>
      <c r="UIO63" s="228"/>
      <c r="UIP63" s="228"/>
      <c r="UIQ63" s="226"/>
      <c r="UIR63" s="226"/>
      <c r="UIS63" s="224"/>
      <c r="UIT63" s="225"/>
      <c r="UIU63" s="226"/>
      <c r="UIV63" s="227"/>
      <c r="UIW63" s="228"/>
      <c r="UIX63" s="228"/>
      <c r="UIY63" s="228"/>
      <c r="UIZ63" s="228"/>
      <c r="UJA63" s="228"/>
      <c r="UJB63" s="228"/>
      <c r="UJC63" s="226"/>
      <c r="UJD63" s="226"/>
      <c r="UJE63" s="224"/>
      <c r="UJF63" s="225"/>
      <c r="UJG63" s="226"/>
      <c r="UJH63" s="227"/>
      <c r="UJI63" s="228"/>
      <c r="UJJ63" s="228"/>
      <c r="UJK63" s="228"/>
      <c r="UJL63" s="228"/>
      <c r="UJM63" s="228"/>
      <c r="UJN63" s="228"/>
      <c r="UJO63" s="226"/>
      <c r="UJP63" s="226"/>
      <c r="UJQ63" s="224"/>
      <c r="UJR63" s="225"/>
      <c r="UJS63" s="226"/>
      <c r="UJT63" s="227"/>
      <c r="UJU63" s="228"/>
      <c r="UJV63" s="228"/>
      <c r="UJW63" s="228"/>
      <c r="UJX63" s="228"/>
      <c r="UJY63" s="228"/>
      <c r="UJZ63" s="228"/>
      <c r="UKA63" s="226"/>
      <c r="UKB63" s="226"/>
      <c r="UKC63" s="224"/>
      <c r="UKD63" s="225"/>
      <c r="UKE63" s="226"/>
      <c r="UKF63" s="227"/>
      <c r="UKG63" s="228"/>
      <c r="UKH63" s="228"/>
      <c r="UKI63" s="228"/>
      <c r="UKJ63" s="228"/>
      <c r="UKK63" s="228"/>
      <c r="UKL63" s="228"/>
      <c r="UKM63" s="226"/>
      <c r="UKN63" s="226"/>
      <c r="UKO63" s="224"/>
      <c r="UKP63" s="225"/>
      <c r="UKQ63" s="226"/>
      <c r="UKR63" s="227"/>
      <c r="UKS63" s="228"/>
      <c r="UKT63" s="228"/>
      <c r="UKU63" s="228"/>
      <c r="UKV63" s="228"/>
      <c r="UKW63" s="228"/>
      <c r="UKX63" s="228"/>
      <c r="UKY63" s="226"/>
      <c r="UKZ63" s="226"/>
      <c r="ULA63" s="224"/>
      <c r="ULB63" s="225"/>
      <c r="ULC63" s="226"/>
      <c r="ULD63" s="227"/>
      <c r="ULE63" s="228"/>
      <c r="ULF63" s="228"/>
      <c r="ULG63" s="228"/>
      <c r="ULH63" s="228"/>
      <c r="ULI63" s="228"/>
      <c r="ULJ63" s="228"/>
      <c r="ULK63" s="226"/>
      <c r="ULL63" s="226"/>
      <c r="ULM63" s="224"/>
      <c r="ULN63" s="225"/>
      <c r="ULO63" s="226"/>
      <c r="ULP63" s="227"/>
      <c r="ULQ63" s="228"/>
      <c r="ULR63" s="228"/>
      <c r="ULS63" s="228"/>
      <c r="ULT63" s="228"/>
      <c r="ULU63" s="228"/>
      <c r="ULV63" s="228"/>
      <c r="ULW63" s="226"/>
      <c r="ULX63" s="226"/>
      <c r="ULY63" s="224"/>
      <c r="ULZ63" s="225"/>
      <c r="UMA63" s="226"/>
      <c r="UMB63" s="227"/>
      <c r="UMC63" s="228"/>
      <c r="UMD63" s="228"/>
      <c r="UME63" s="228"/>
      <c r="UMF63" s="228"/>
      <c r="UMG63" s="228"/>
      <c r="UMH63" s="228"/>
      <c r="UMI63" s="226"/>
      <c r="UMJ63" s="226"/>
      <c r="UMK63" s="224"/>
      <c r="UML63" s="225"/>
      <c r="UMM63" s="226"/>
      <c r="UMN63" s="227"/>
      <c r="UMO63" s="228"/>
      <c r="UMP63" s="228"/>
      <c r="UMQ63" s="228"/>
      <c r="UMR63" s="228"/>
      <c r="UMS63" s="228"/>
      <c r="UMT63" s="228"/>
      <c r="UMU63" s="226"/>
      <c r="UMV63" s="226"/>
      <c r="UMW63" s="224"/>
      <c r="UMX63" s="225"/>
      <c r="UMY63" s="226"/>
      <c r="UMZ63" s="227"/>
      <c r="UNA63" s="228"/>
      <c r="UNB63" s="228"/>
      <c r="UNC63" s="228"/>
      <c r="UND63" s="228"/>
      <c r="UNE63" s="228"/>
      <c r="UNF63" s="228"/>
      <c r="UNG63" s="226"/>
      <c r="UNH63" s="226"/>
      <c r="UNI63" s="224"/>
      <c r="UNJ63" s="225"/>
      <c r="UNK63" s="226"/>
      <c r="UNL63" s="227"/>
      <c r="UNM63" s="228"/>
      <c r="UNN63" s="228"/>
      <c r="UNO63" s="228"/>
      <c r="UNP63" s="228"/>
      <c r="UNQ63" s="228"/>
      <c r="UNR63" s="228"/>
      <c r="UNS63" s="226"/>
      <c r="UNT63" s="226"/>
      <c r="UNU63" s="224"/>
      <c r="UNV63" s="225"/>
      <c r="UNW63" s="226"/>
      <c r="UNX63" s="227"/>
      <c r="UNY63" s="228"/>
      <c r="UNZ63" s="228"/>
      <c r="UOA63" s="228"/>
      <c r="UOB63" s="228"/>
      <c r="UOC63" s="228"/>
      <c r="UOD63" s="228"/>
      <c r="UOE63" s="226"/>
      <c r="UOF63" s="226"/>
      <c r="UOG63" s="224"/>
      <c r="UOH63" s="225"/>
      <c r="UOI63" s="226"/>
      <c r="UOJ63" s="227"/>
      <c r="UOK63" s="228"/>
      <c r="UOL63" s="228"/>
      <c r="UOM63" s="228"/>
      <c r="UON63" s="228"/>
      <c r="UOO63" s="228"/>
      <c r="UOP63" s="228"/>
      <c r="UOQ63" s="226"/>
      <c r="UOR63" s="226"/>
      <c r="UOS63" s="224"/>
      <c r="UOT63" s="225"/>
      <c r="UOU63" s="226"/>
      <c r="UOV63" s="227"/>
      <c r="UOW63" s="228"/>
      <c r="UOX63" s="228"/>
      <c r="UOY63" s="228"/>
      <c r="UOZ63" s="228"/>
      <c r="UPA63" s="228"/>
      <c r="UPB63" s="228"/>
      <c r="UPC63" s="226"/>
      <c r="UPD63" s="226"/>
      <c r="UPE63" s="224"/>
      <c r="UPF63" s="225"/>
      <c r="UPG63" s="226"/>
      <c r="UPH63" s="227"/>
      <c r="UPI63" s="228"/>
      <c r="UPJ63" s="228"/>
      <c r="UPK63" s="228"/>
      <c r="UPL63" s="228"/>
      <c r="UPM63" s="228"/>
      <c r="UPN63" s="228"/>
      <c r="UPO63" s="226"/>
      <c r="UPP63" s="226"/>
      <c r="UPQ63" s="224"/>
      <c r="UPR63" s="225"/>
      <c r="UPS63" s="226"/>
      <c r="UPT63" s="227"/>
      <c r="UPU63" s="228"/>
      <c r="UPV63" s="228"/>
      <c r="UPW63" s="228"/>
      <c r="UPX63" s="228"/>
      <c r="UPY63" s="228"/>
      <c r="UPZ63" s="228"/>
      <c r="UQA63" s="226"/>
      <c r="UQB63" s="226"/>
      <c r="UQC63" s="224"/>
      <c r="UQD63" s="225"/>
      <c r="UQE63" s="226"/>
      <c r="UQF63" s="227"/>
      <c r="UQG63" s="228"/>
      <c r="UQH63" s="228"/>
      <c r="UQI63" s="228"/>
      <c r="UQJ63" s="228"/>
      <c r="UQK63" s="228"/>
      <c r="UQL63" s="228"/>
      <c r="UQM63" s="226"/>
      <c r="UQN63" s="226"/>
      <c r="UQO63" s="224"/>
      <c r="UQP63" s="225"/>
      <c r="UQQ63" s="226"/>
      <c r="UQR63" s="227"/>
      <c r="UQS63" s="228"/>
      <c r="UQT63" s="228"/>
      <c r="UQU63" s="228"/>
      <c r="UQV63" s="228"/>
      <c r="UQW63" s="228"/>
      <c r="UQX63" s="228"/>
      <c r="UQY63" s="226"/>
      <c r="UQZ63" s="226"/>
      <c r="URA63" s="224"/>
      <c r="URB63" s="225"/>
      <c r="URC63" s="226"/>
      <c r="URD63" s="227"/>
      <c r="URE63" s="228"/>
      <c r="URF63" s="228"/>
      <c r="URG63" s="228"/>
      <c r="URH63" s="228"/>
      <c r="URI63" s="228"/>
      <c r="URJ63" s="228"/>
      <c r="URK63" s="226"/>
      <c r="URL63" s="226"/>
      <c r="URM63" s="224"/>
      <c r="URN63" s="225"/>
      <c r="URO63" s="226"/>
      <c r="URP63" s="227"/>
      <c r="URQ63" s="228"/>
      <c r="URR63" s="228"/>
      <c r="URS63" s="228"/>
      <c r="URT63" s="228"/>
      <c r="URU63" s="228"/>
      <c r="URV63" s="228"/>
      <c r="URW63" s="226"/>
      <c r="URX63" s="226"/>
      <c r="URY63" s="224"/>
      <c r="URZ63" s="225"/>
      <c r="USA63" s="226"/>
      <c r="USB63" s="227"/>
      <c r="USC63" s="228"/>
      <c r="USD63" s="228"/>
      <c r="USE63" s="228"/>
      <c r="USF63" s="228"/>
      <c r="USG63" s="228"/>
      <c r="USH63" s="228"/>
      <c r="USI63" s="226"/>
      <c r="USJ63" s="226"/>
      <c r="USK63" s="224"/>
      <c r="USL63" s="225"/>
      <c r="USM63" s="226"/>
      <c r="USN63" s="227"/>
      <c r="USO63" s="228"/>
      <c r="USP63" s="228"/>
      <c r="USQ63" s="228"/>
      <c r="USR63" s="228"/>
      <c r="USS63" s="228"/>
      <c r="UST63" s="228"/>
      <c r="USU63" s="226"/>
      <c r="USV63" s="226"/>
      <c r="USW63" s="224"/>
      <c r="USX63" s="225"/>
      <c r="USY63" s="226"/>
      <c r="USZ63" s="227"/>
      <c r="UTA63" s="228"/>
      <c r="UTB63" s="228"/>
      <c r="UTC63" s="228"/>
      <c r="UTD63" s="228"/>
      <c r="UTE63" s="228"/>
      <c r="UTF63" s="228"/>
      <c r="UTG63" s="226"/>
      <c r="UTH63" s="226"/>
      <c r="UTI63" s="224"/>
      <c r="UTJ63" s="225"/>
      <c r="UTK63" s="226"/>
      <c r="UTL63" s="227"/>
      <c r="UTM63" s="228"/>
      <c r="UTN63" s="228"/>
      <c r="UTO63" s="228"/>
      <c r="UTP63" s="228"/>
      <c r="UTQ63" s="228"/>
      <c r="UTR63" s="228"/>
      <c r="UTS63" s="226"/>
      <c r="UTT63" s="226"/>
      <c r="UTU63" s="224"/>
      <c r="UTV63" s="225"/>
      <c r="UTW63" s="226"/>
      <c r="UTX63" s="227"/>
      <c r="UTY63" s="228"/>
      <c r="UTZ63" s="228"/>
      <c r="UUA63" s="228"/>
      <c r="UUB63" s="228"/>
      <c r="UUC63" s="228"/>
      <c r="UUD63" s="228"/>
      <c r="UUE63" s="226"/>
      <c r="UUF63" s="226"/>
      <c r="UUG63" s="224"/>
      <c r="UUH63" s="225"/>
      <c r="UUI63" s="226"/>
      <c r="UUJ63" s="227"/>
      <c r="UUK63" s="228"/>
      <c r="UUL63" s="228"/>
      <c r="UUM63" s="228"/>
      <c r="UUN63" s="228"/>
      <c r="UUO63" s="228"/>
      <c r="UUP63" s="228"/>
      <c r="UUQ63" s="226"/>
      <c r="UUR63" s="226"/>
      <c r="UUS63" s="224"/>
      <c r="UUT63" s="225"/>
      <c r="UUU63" s="226"/>
      <c r="UUV63" s="227"/>
      <c r="UUW63" s="228"/>
      <c r="UUX63" s="228"/>
      <c r="UUY63" s="228"/>
      <c r="UUZ63" s="228"/>
      <c r="UVA63" s="228"/>
      <c r="UVB63" s="228"/>
      <c r="UVC63" s="226"/>
      <c r="UVD63" s="226"/>
      <c r="UVE63" s="224"/>
      <c r="UVF63" s="225"/>
      <c r="UVG63" s="226"/>
      <c r="UVH63" s="227"/>
      <c r="UVI63" s="228"/>
      <c r="UVJ63" s="228"/>
      <c r="UVK63" s="228"/>
      <c r="UVL63" s="228"/>
      <c r="UVM63" s="228"/>
      <c r="UVN63" s="228"/>
      <c r="UVO63" s="226"/>
      <c r="UVP63" s="226"/>
      <c r="UVQ63" s="224"/>
      <c r="UVR63" s="225"/>
      <c r="UVS63" s="226"/>
      <c r="UVT63" s="227"/>
      <c r="UVU63" s="228"/>
      <c r="UVV63" s="228"/>
      <c r="UVW63" s="228"/>
      <c r="UVX63" s="228"/>
      <c r="UVY63" s="228"/>
      <c r="UVZ63" s="228"/>
      <c r="UWA63" s="226"/>
      <c r="UWB63" s="226"/>
      <c r="UWC63" s="224"/>
      <c r="UWD63" s="225"/>
      <c r="UWE63" s="226"/>
      <c r="UWF63" s="227"/>
      <c r="UWG63" s="228"/>
      <c r="UWH63" s="228"/>
      <c r="UWI63" s="228"/>
      <c r="UWJ63" s="228"/>
      <c r="UWK63" s="228"/>
      <c r="UWL63" s="228"/>
      <c r="UWM63" s="226"/>
      <c r="UWN63" s="226"/>
      <c r="UWO63" s="224"/>
      <c r="UWP63" s="225"/>
      <c r="UWQ63" s="226"/>
      <c r="UWR63" s="227"/>
      <c r="UWS63" s="228"/>
      <c r="UWT63" s="228"/>
      <c r="UWU63" s="228"/>
      <c r="UWV63" s="228"/>
      <c r="UWW63" s="228"/>
      <c r="UWX63" s="228"/>
      <c r="UWY63" s="226"/>
      <c r="UWZ63" s="226"/>
      <c r="UXA63" s="224"/>
      <c r="UXB63" s="225"/>
      <c r="UXC63" s="226"/>
      <c r="UXD63" s="227"/>
      <c r="UXE63" s="228"/>
      <c r="UXF63" s="228"/>
      <c r="UXG63" s="228"/>
      <c r="UXH63" s="228"/>
      <c r="UXI63" s="228"/>
      <c r="UXJ63" s="228"/>
      <c r="UXK63" s="226"/>
      <c r="UXL63" s="226"/>
      <c r="UXM63" s="224"/>
      <c r="UXN63" s="225"/>
      <c r="UXO63" s="226"/>
      <c r="UXP63" s="227"/>
      <c r="UXQ63" s="228"/>
      <c r="UXR63" s="228"/>
      <c r="UXS63" s="228"/>
      <c r="UXT63" s="228"/>
      <c r="UXU63" s="228"/>
      <c r="UXV63" s="228"/>
      <c r="UXW63" s="226"/>
      <c r="UXX63" s="226"/>
      <c r="UXY63" s="224"/>
      <c r="UXZ63" s="225"/>
      <c r="UYA63" s="226"/>
      <c r="UYB63" s="227"/>
      <c r="UYC63" s="228"/>
      <c r="UYD63" s="228"/>
      <c r="UYE63" s="228"/>
      <c r="UYF63" s="228"/>
      <c r="UYG63" s="228"/>
      <c r="UYH63" s="228"/>
      <c r="UYI63" s="226"/>
      <c r="UYJ63" s="226"/>
      <c r="UYK63" s="224"/>
      <c r="UYL63" s="225"/>
      <c r="UYM63" s="226"/>
      <c r="UYN63" s="227"/>
      <c r="UYO63" s="228"/>
      <c r="UYP63" s="228"/>
      <c r="UYQ63" s="228"/>
      <c r="UYR63" s="228"/>
      <c r="UYS63" s="228"/>
      <c r="UYT63" s="228"/>
      <c r="UYU63" s="226"/>
      <c r="UYV63" s="226"/>
      <c r="UYW63" s="224"/>
      <c r="UYX63" s="225"/>
      <c r="UYY63" s="226"/>
      <c r="UYZ63" s="227"/>
      <c r="UZA63" s="228"/>
      <c r="UZB63" s="228"/>
      <c r="UZC63" s="228"/>
      <c r="UZD63" s="228"/>
      <c r="UZE63" s="228"/>
      <c r="UZF63" s="228"/>
      <c r="UZG63" s="226"/>
      <c r="UZH63" s="226"/>
      <c r="UZI63" s="224"/>
      <c r="UZJ63" s="225"/>
      <c r="UZK63" s="226"/>
      <c r="UZL63" s="227"/>
      <c r="UZM63" s="228"/>
      <c r="UZN63" s="228"/>
      <c r="UZO63" s="228"/>
      <c r="UZP63" s="228"/>
      <c r="UZQ63" s="228"/>
      <c r="UZR63" s="228"/>
      <c r="UZS63" s="226"/>
      <c r="UZT63" s="226"/>
      <c r="UZU63" s="224"/>
      <c r="UZV63" s="225"/>
      <c r="UZW63" s="226"/>
      <c r="UZX63" s="227"/>
      <c r="UZY63" s="228"/>
      <c r="UZZ63" s="228"/>
      <c r="VAA63" s="228"/>
      <c r="VAB63" s="228"/>
      <c r="VAC63" s="228"/>
      <c r="VAD63" s="228"/>
      <c r="VAE63" s="226"/>
      <c r="VAF63" s="226"/>
      <c r="VAG63" s="224"/>
      <c r="VAH63" s="225"/>
      <c r="VAI63" s="226"/>
      <c r="VAJ63" s="227"/>
      <c r="VAK63" s="228"/>
      <c r="VAL63" s="228"/>
      <c r="VAM63" s="228"/>
      <c r="VAN63" s="228"/>
      <c r="VAO63" s="228"/>
      <c r="VAP63" s="228"/>
      <c r="VAQ63" s="226"/>
      <c r="VAR63" s="226"/>
      <c r="VAS63" s="224"/>
      <c r="VAT63" s="225"/>
      <c r="VAU63" s="226"/>
      <c r="VAV63" s="227"/>
      <c r="VAW63" s="228"/>
      <c r="VAX63" s="228"/>
      <c r="VAY63" s="228"/>
      <c r="VAZ63" s="228"/>
      <c r="VBA63" s="228"/>
      <c r="VBB63" s="228"/>
      <c r="VBC63" s="226"/>
      <c r="VBD63" s="226"/>
      <c r="VBE63" s="224"/>
      <c r="VBF63" s="225"/>
      <c r="VBG63" s="226"/>
      <c r="VBH63" s="227"/>
      <c r="VBI63" s="228"/>
      <c r="VBJ63" s="228"/>
      <c r="VBK63" s="228"/>
      <c r="VBL63" s="228"/>
      <c r="VBM63" s="228"/>
      <c r="VBN63" s="228"/>
      <c r="VBO63" s="226"/>
      <c r="VBP63" s="226"/>
      <c r="VBQ63" s="224"/>
      <c r="VBR63" s="225"/>
      <c r="VBS63" s="226"/>
      <c r="VBT63" s="227"/>
      <c r="VBU63" s="228"/>
      <c r="VBV63" s="228"/>
      <c r="VBW63" s="228"/>
      <c r="VBX63" s="228"/>
      <c r="VBY63" s="228"/>
      <c r="VBZ63" s="228"/>
      <c r="VCA63" s="226"/>
      <c r="VCB63" s="226"/>
      <c r="VCC63" s="224"/>
      <c r="VCD63" s="225"/>
      <c r="VCE63" s="226"/>
      <c r="VCF63" s="227"/>
      <c r="VCG63" s="228"/>
      <c r="VCH63" s="228"/>
      <c r="VCI63" s="228"/>
      <c r="VCJ63" s="228"/>
      <c r="VCK63" s="228"/>
      <c r="VCL63" s="228"/>
      <c r="VCM63" s="226"/>
      <c r="VCN63" s="226"/>
      <c r="VCO63" s="224"/>
      <c r="VCP63" s="225"/>
      <c r="VCQ63" s="226"/>
      <c r="VCR63" s="227"/>
      <c r="VCS63" s="228"/>
      <c r="VCT63" s="228"/>
      <c r="VCU63" s="228"/>
      <c r="VCV63" s="228"/>
      <c r="VCW63" s="228"/>
      <c r="VCX63" s="228"/>
      <c r="VCY63" s="226"/>
      <c r="VCZ63" s="226"/>
      <c r="VDA63" s="224"/>
      <c r="VDB63" s="225"/>
      <c r="VDC63" s="226"/>
      <c r="VDD63" s="227"/>
      <c r="VDE63" s="228"/>
      <c r="VDF63" s="228"/>
      <c r="VDG63" s="228"/>
      <c r="VDH63" s="228"/>
      <c r="VDI63" s="228"/>
      <c r="VDJ63" s="228"/>
      <c r="VDK63" s="226"/>
      <c r="VDL63" s="226"/>
      <c r="VDM63" s="224"/>
      <c r="VDN63" s="225"/>
      <c r="VDO63" s="226"/>
      <c r="VDP63" s="227"/>
      <c r="VDQ63" s="228"/>
      <c r="VDR63" s="228"/>
      <c r="VDS63" s="228"/>
      <c r="VDT63" s="228"/>
      <c r="VDU63" s="228"/>
      <c r="VDV63" s="228"/>
      <c r="VDW63" s="226"/>
      <c r="VDX63" s="226"/>
      <c r="VDY63" s="224"/>
      <c r="VDZ63" s="225"/>
      <c r="VEA63" s="226"/>
      <c r="VEB63" s="227"/>
      <c r="VEC63" s="228"/>
      <c r="VED63" s="228"/>
      <c r="VEE63" s="228"/>
      <c r="VEF63" s="228"/>
      <c r="VEG63" s="228"/>
      <c r="VEH63" s="228"/>
      <c r="VEI63" s="226"/>
      <c r="VEJ63" s="226"/>
      <c r="VEK63" s="224"/>
      <c r="VEL63" s="225"/>
      <c r="VEM63" s="226"/>
      <c r="VEN63" s="227"/>
      <c r="VEO63" s="228"/>
      <c r="VEP63" s="228"/>
      <c r="VEQ63" s="228"/>
      <c r="VER63" s="228"/>
      <c r="VES63" s="228"/>
      <c r="VET63" s="228"/>
      <c r="VEU63" s="226"/>
      <c r="VEV63" s="226"/>
      <c r="VEW63" s="224"/>
      <c r="VEX63" s="225"/>
      <c r="VEY63" s="226"/>
      <c r="VEZ63" s="227"/>
      <c r="VFA63" s="228"/>
      <c r="VFB63" s="228"/>
      <c r="VFC63" s="228"/>
      <c r="VFD63" s="228"/>
      <c r="VFE63" s="228"/>
      <c r="VFF63" s="228"/>
      <c r="VFG63" s="226"/>
      <c r="VFH63" s="226"/>
      <c r="VFI63" s="224"/>
      <c r="VFJ63" s="225"/>
      <c r="VFK63" s="226"/>
      <c r="VFL63" s="227"/>
      <c r="VFM63" s="228"/>
      <c r="VFN63" s="228"/>
      <c r="VFO63" s="228"/>
      <c r="VFP63" s="228"/>
      <c r="VFQ63" s="228"/>
      <c r="VFR63" s="228"/>
      <c r="VFS63" s="226"/>
      <c r="VFT63" s="226"/>
      <c r="VFU63" s="224"/>
      <c r="VFV63" s="225"/>
      <c r="VFW63" s="226"/>
      <c r="VFX63" s="227"/>
      <c r="VFY63" s="228"/>
      <c r="VFZ63" s="228"/>
      <c r="VGA63" s="228"/>
      <c r="VGB63" s="228"/>
      <c r="VGC63" s="228"/>
      <c r="VGD63" s="228"/>
      <c r="VGE63" s="226"/>
      <c r="VGF63" s="226"/>
      <c r="VGG63" s="224"/>
      <c r="VGH63" s="225"/>
      <c r="VGI63" s="226"/>
      <c r="VGJ63" s="227"/>
      <c r="VGK63" s="228"/>
      <c r="VGL63" s="228"/>
      <c r="VGM63" s="228"/>
      <c r="VGN63" s="228"/>
      <c r="VGO63" s="228"/>
      <c r="VGP63" s="228"/>
      <c r="VGQ63" s="226"/>
      <c r="VGR63" s="226"/>
      <c r="VGS63" s="224"/>
      <c r="VGT63" s="225"/>
      <c r="VGU63" s="226"/>
      <c r="VGV63" s="227"/>
      <c r="VGW63" s="228"/>
      <c r="VGX63" s="228"/>
      <c r="VGY63" s="228"/>
      <c r="VGZ63" s="228"/>
      <c r="VHA63" s="228"/>
      <c r="VHB63" s="228"/>
      <c r="VHC63" s="226"/>
      <c r="VHD63" s="226"/>
      <c r="VHE63" s="224"/>
      <c r="VHF63" s="225"/>
      <c r="VHG63" s="226"/>
      <c r="VHH63" s="227"/>
      <c r="VHI63" s="228"/>
      <c r="VHJ63" s="228"/>
      <c r="VHK63" s="228"/>
      <c r="VHL63" s="228"/>
      <c r="VHM63" s="228"/>
      <c r="VHN63" s="228"/>
      <c r="VHO63" s="226"/>
      <c r="VHP63" s="226"/>
      <c r="VHQ63" s="224"/>
      <c r="VHR63" s="225"/>
      <c r="VHS63" s="226"/>
      <c r="VHT63" s="227"/>
      <c r="VHU63" s="228"/>
      <c r="VHV63" s="228"/>
      <c r="VHW63" s="228"/>
      <c r="VHX63" s="228"/>
      <c r="VHY63" s="228"/>
      <c r="VHZ63" s="228"/>
      <c r="VIA63" s="226"/>
      <c r="VIB63" s="226"/>
      <c r="VIC63" s="224"/>
      <c r="VID63" s="225"/>
      <c r="VIE63" s="226"/>
      <c r="VIF63" s="227"/>
      <c r="VIG63" s="228"/>
      <c r="VIH63" s="228"/>
      <c r="VII63" s="228"/>
      <c r="VIJ63" s="228"/>
      <c r="VIK63" s="228"/>
      <c r="VIL63" s="228"/>
      <c r="VIM63" s="226"/>
      <c r="VIN63" s="226"/>
      <c r="VIO63" s="224"/>
      <c r="VIP63" s="225"/>
      <c r="VIQ63" s="226"/>
      <c r="VIR63" s="227"/>
      <c r="VIS63" s="228"/>
      <c r="VIT63" s="228"/>
      <c r="VIU63" s="228"/>
      <c r="VIV63" s="228"/>
      <c r="VIW63" s="228"/>
      <c r="VIX63" s="228"/>
      <c r="VIY63" s="226"/>
      <c r="VIZ63" s="226"/>
      <c r="VJA63" s="224"/>
      <c r="VJB63" s="225"/>
      <c r="VJC63" s="226"/>
      <c r="VJD63" s="227"/>
      <c r="VJE63" s="228"/>
      <c r="VJF63" s="228"/>
      <c r="VJG63" s="228"/>
      <c r="VJH63" s="228"/>
      <c r="VJI63" s="228"/>
      <c r="VJJ63" s="228"/>
      <c r="VJK63" s="226"/>
      <c r="VJL63" s="226"/>
      <c r="VJM63" s="224"/>
      <c r="VJN63" s="225"/>
      <c r="VJO63" s="226"/>
      <c r="VJP63" s="227"/>
      <c r="VJQ63" s="228"/>
      <c r="VJR63" s="228"/>
      <c r="VJS63" s="228"/>
      <c r="VJT63" s="228"/>
      <c r="VJU63" s="228"/>
      <c r="VJV63" s="228"/>
      <c r="VJW63" s="226"/>
      <c r="VJX63" s="226"/>
      <c r="VJY63" s="224"/>
      <c r="VJZ63" s="225"/>
      <c r="VKA63" s="226"/>
      <c r="VKB63" s="227"/>
      <c r="VKC63" s="228"/>
      <c r="VKD63" s="228"/>
      <c r="VKE63" s="228"/>
      <c r="VKF63" s="228"/>
      <c r="VKG63" s="228"/>
      <c r="VKH63" s="228"/>
      <c r="VKI63" s="226"/>
      <c r="VKJ63" s="226"/>
      <c r="VKK63" s="224"/>
      <c r="VKL63" s="225"/>
      <c r="VKM63" s="226"/>
      <c r="VKN63" s="227"/>
      <c r="VKO63" s="228"/>
      <c r="VKP63" s="228"/>
      <c r="VKQ63" s="228"/>
      <c r="VKR63" s="228"/>
      <c r="VKS63" s="228"/>
      <c r="VKT63" s="228"/>
      <c r="VKU63" s="226"/>
      <c r="VKV63" s="226"/>
      <c r="VKW63" s="224"/>
      <c r="VKX63" s="225"/>
      <c r="VKY63" s="226"/>
      <c r="VKZ63" s="227"/>
      <c r="VLA63" s="228"/>
      <c r="VLB63" s="228"/>
      <c r="VLC63" s="228"/>
      <c r="VLD63" s="228"/>
      <c r="VLE63" s="228"/>
      <c r="VLF63" s="228"/>
      <c r="VLG63" s="226"/>
      <c r="VLH63" s="226"/>
      <c r="VLI63" s="224"/>
      <c r="VLJ63" s="225"/>
      <c r="VLK63" s="226"/>
      <c r="VLL63" s="227"/>
      <c r="VLM63" s="228"/>
      <c r="VLN63" s="228"/>
      <c r="VLO63" s="228"/>
      <c r="VLP63" s="228"/>
      <c r="VLQ63" s="228"/>
      <c r="VLR63" s="228"/>
      <c r="VLS63" s="226"/>
      <c r="VLT63" s="226"/>
      <c r="VLU63" s="224"/>
      <c r="VLV63" s="225"/>
      <c r="VLW63" s="226"/>
      <c r="VLX63" s="227"/>
      <c r="VLY63" s="228"/>
      <c r="VLZ63" s="228"/>
      <c r="VMA63" s="228"/>
      <c r="VMB63" s="228"/>
      <c r="VMC63" s="228"/>
      <c r="VMD63" s="228"/>
      <c r="VME63" s="226"/>
      <c r="VMF63" s="226"/>
      <c r="VMG63" s="224"/>
      <c r="VMH63" s="225"/>
      <c r="VMI63" s="226"/>
      <c r="VMJ63" s="227"/>
      <c r="VMK63" s="228"/>
      <c r="VML63" s="228"/>
      <c r="VMM63" s="228"/>
      <c r="VMN63" s="228"/>
      <c r="VMO63" s="228"/>
      <c r="VMP63" s="228"/>
      <c r="VMQ63" s="226"/>
      <c r="VMR63" s="226"/>
      <c r="VMS63" s="224"/>
      <c r="VMT63" s="225"/>
      <c r="VMU63" s="226"/>
      <c r="VMV63" s="227"/>
      <c r="VMW63" s="228"/>
      <c r="VMX63" s="228"/>
      <c r="VMY63" s="228"/>
      <c r="VMZ63" s="228"/>
      <c r="VNA63" s="228"/>
      <c r="VNB63" s="228"/>
      <c r="VNC63" s="226"/>
      <c r="VND63" s="226"/>
      <c r="VNE63" s="224"/>
      <c r="VNF63" s="225"/>
      <c r="VNG63" s="226"/>
      <c r="VNH63" s="227"/>
      <c r="VNI63" s="228"/>
      <c r="VNJ63" s="228"/>
      <c r="VNK63" s="228"/>
      <c r="VNL63" s="228"/>
      <c r="VNM63" s="228"/>
      <c r="VNN63" s="228"/>
      <c r="VNO63" s="226"/>
      <c r="VNP63" s="226"/>
      <c r="VNQ63" s="224"/>
      <c r="VNR63" s="225"/>
      <c r="VNS63" s="226"/>
      <c r="VNT63" s="227"/>
      <c r="VNU63" s="228"/>
      <c r="VNV63" s="228"/>
      <c r="VNW63" s="228"/>
      <c r="VNX63" s="228"/>
      <c r="VNY63" s="228"/>
      <c r="VNZ63" s="228"/>
      <c r="VOA63" s="226"/>
      <c r="VOB63" s="226"/>
      <c r="VOC63" s="224"/>
      <c r="VOD63" s="225"/>
      <c r="VOE63" s="226"/>
      <c r="VOF63" s="227"/>
      <c r="VOG63" s="228"/>
      <c r="VOH63" s="228"/>
      <c r="VOI63" s="228"/>
      <c r="VOJ63" s="228"/>
      <c r="VOK63" s="228"/>
      <c r="VOL63" s="228"/>
      <c r="VOM63" s="226"/>
      <c r="VON63" s="226"/>
      <c r="VOO63" s="224"/>
      <c r="VOP63" s="225"/>
      <c r="VOQ63" s="226"/>
      <c r="VOR63" s="227"/>
      <c r="VOS63" s="228"/>
      <c r="VOT63" s="228"/>
      <c r="VOU63" s="228"/>
      <c r="VOV63" s="228"/>
      <c r="VOW63" s="228"/>
      <c r="VOX63" s="228"/>
      <c r="VOY63" s="226"/>
      <c r="VOZ63" s="226"/>
      <c r="VPA63" s="224"/>
      <c r="VPB63" s="225"/>
      <c r="VPC63" s="226"/>
      <c r="VPD63" s="227"/>
      <c r="VPE63" s="228"/>
      <c r="VPF63" s="228"/>
      <c r="VPG63" s="228"/>
      <c r="VPH63" s="228"/>
      <c r="VPI63" s="228"/>
      <c r="VPJ63" s="228"/>
      <c r="VPK63" s="226"/>
      <c r="VPL63" s="226"/>
      <c r="VPM63" s="224"/>
      <c r="VPN63" s="225"/>
      <c r="VPO63" s="226"/>
      <c r="VPP63" s="227"/>
      <c r="VPQ63" s="228"/>
      <c r="VPR63" s="228"/>
      <c r="VPS63" s="228"/>
      <c r="VPT63" s="228"/>
      <c r="VPU63" s="228"/>
      <c r="VPV63" s="228"/>
      <c r="VPW63" s="226"/>
      <c r="VPX63" s="226"/>
      <c r="VPY63" s="224"/>
      <c r="VPZ63" s="225"/>
      <c r="VQA63" s="226"/>
      <c r="VQB63" s="227"/>
      <c r="VQC63" s="228"/>
      <c r="VQD63" s="228"/>
      <c r="VQE63" s="228"/>
      <c r="VQF63" s="228"/>
      <c r="VQG63" s="228"/>
      <c r="VQH63" s="228"/>
      <c r="VQI63" s="226"/>
      <c r="VQJ63" s="226"/>
      <c r="VQK63" s="224"/>
      <c r="VQL63" s="225"/>
      <c r="VQM63" s="226"/>
      <c r="VQN63" s="227"/>
      <c r="VQO63" s="228"/>
      <c r="VQP63" s="228"/>
      <c r="VQQ63" s="228"/>
      <c r="VQR63" s="228"/>
      <c r="VQS63" s="228"/>
      <c r="VQT63" s="228"/>
      <c r="VQU63" s="226"/>
      <c r="VQV63" s="226"/>
      <c r="VQW63" s="224"/>
      <c r="VQX63" s="225"/>
      <c r="VQY63" s="226"/>
      <c r="VQZ63" s="227"/>
      <c r="VRA63" s="228"/>
      <c r="VRB63" s="228"/>
      <c r="VRC63" s="228"/>
      <c r="VRD63" s="228"/>
      <c r="VRE63" s="228"/>
      <c r="VRF63" s="228"/>
      <c r="VRG63" s="226"/>
      <c r="VRH63" s="226"/>
      <c r="VRI63" s="224"/>
      <c r="VRJ63" s="225"/>
      <c r="VRK63" s="226"/>
      <c r="VRL63" s="227"/>
      <c r="VRM63" s="228"/>
      <c r="VRN63" s="228"/>
      <c r="VRO63" s="228"/>
      <c r="VRP63" s="228"/>
      <c r="VRQ63" s="228"/>
      <c r="VRR63" s="228"/>
      <c r="VRS63" s="226"/>
      <c r="VRT63" s="226"/>
      <c r="VRU63" s="224"/>
      <c r="VRV63" s="225"/>
      <c r="VRW63" s="226"/>
      <c r="VRX63" s="227"/>
      <c r="VRY63" s="228"/>
      <c r="VRZ63" s="228"/>
      <c r="VSA63" s="228"/>
      <c r="VSB63" s="228"/>
      <c r="VSC63" s="228"/>
      <c r="VSD63" s="228"/>
      <c r="VSE63" s="226"/>
      <c r="VSF63" s="226"/>
      <c r="VSG63" s="224"/>
      <c r="VSH63" s="225"/>
      <c r="VSI63" s="226"/>
      <c r="VSJ63" s="227"/>
      <c r="VSK63" s="228"/>
      <c r="VSL63" s="228"/>
      <c r="VSM63" s="228"/>
      <c r="VSN63" s="228"/>
      <c r="VSO63" s="228"/>
      <c r="VSP63" s="228"/>
      <c r="VSQ63" s="226"/>
      <c r="VSR63" s="226"/>
      <c r="VSS63" s="224"/>
      <c r="VST63" s="225"/>
      <c r="VSU63" s="226"/>
      <c r="VSV63" s="227"/>
      <c r="VSW63" s="228"/>
      <c r="VSX63" s="228"/>
      <c r="VSY63" s="228"/>
      <c r="VSZ63" s="228"/>
      <c r="VTA63" s="228"/>
      <c r="VTB63" s="228"/>
      <c r="VTC63" s="226"/>
      <c r="VTD63" s="226"/>
      <c r="VTE63" s="224"/>
      <c r="VTF63" s="225"/>
      <c r="VTG63" s="226"/>
      <c r="VTH63" s="227"/>
      <c r="VTI63" s="228"/>
      <c r="VTJ63" s="228"/>
      <c r="VTK63" s="228"/>
      <c r="VTL63" s="228"/>
      <c r="VTM63" s="228"/>
      <c r="VTN63" s="228"/>
      <c r="VTO63" s="226"/>
      <c r="VTP63" s="226"/>
      <c r="VTQ63" s="224"/>
      <c r="VTR63" s="225"/>
      <c r="VTS63" s="226"/>
      <c r="VTT63" s="227"/>
      <c r="VTU63" s="228"/>
      <c r="VTV63" s="228"/>
      <c r="VTW63" s="228"/>
      <c r="VTX63" s="228"/>
      <c r="VTY63" s="228"/>
      <c r="VTZ63" s="228"/>
      <c r="VUA63" s="226"/>
      <c r="VUB63" s="226"/>
      <c r="VUC63" s="224"/>
      <c r="VUD63" s="225"/>
      <c r="VUE63" s="226"/>
      <c r="VUF63" s="227"/>
      <c r="VUG63" s="228"/>
      <c r="VUH63" s="228"/>
      <c r="VUI63" s="228"/>
      <c r="VUJ63" s="228"/>
      <c r="VUK63" s="228"/>
      <c r="VUL63" s="228"/>
      <c r="VUM63" s="226"/>
      <c r="VUN63" s="226"/>
      <c r="VUO63" s="224"/>
      <c r="VUP63" s="225"/>
      <c r="VUQ63" s="226"/>
      <c r="VUR63" s="227"/>
      <c r="VUS63" s="228"/>
      <c r="VUT63" s="228"/>
      <c r="VUU63" s="228"/>
      <c r="VUV63" s="228"/>
      <c r="VUW63" s="228"/>
      <c r="VUX63" s="228"/>
      <c r="VUY63" s="226"/>
      <c r="VUZ63" s="226"/>
      <c r="VVA63" s="224"/>
      <c r="VVB63" s="225"/>
      <c r="VVC63" s="226"/>
      <c r="VVD63" s="227"/>
      <c r="VVE63" s="228"/>
      <c r="VVF63" s="228"/>
      <c r="VVG63" s="228"/>
      <c r="VVH63" s="228"/>
      <c r="VVI63" s="228"/>
      <c r="VVJ63" s="228"/>
      <c r="VVK63" s="226"/>
      <c r="VVL63" s="226"/>
      <c r="VVM63" s="224"/>
      <c r="VVN63" s="225"/>
      <c r="VVO63" s="226"/>
      <c r="VVP63" s="227"/>
      <c r="VVQ63" s="228"/>
      <c r="VVR63" s="228"/>
      <c r="VVS63" s="228"/>
      <c r="VVT63" s="228"/>
      <c r="VVU63" s="228"/>
      <c r="VVV63" s="228"/>
      <c r="VVW63" s="226"/>
      <c r="VVX63" s="226"/>
      <c r="VVY63" s="224"/>
      <c r="VVZ63" s="225"/>
      <c r="VWA63" s="226"/>
      <c r="VWB63" s="227"/>
      <c r="VWC63" s="228"/>
      <c r="VWD63" s="228"/>
      <c r="VWE63" s="228"/>
      <c r="VWF63" s="228"/>
      <c r="VWG63" s="228"/>
      <c r="VWH63" s="228"/>
      <c r="VWI63" s="226"/>
      <c r="VWJ63" s="226"/>
      <c r="VWK63" s="224"/>
      <c r="VWL63" s="225"/>
      <c r="VWM63" s="226"/>
      <c r="VWN63" s="227"/>
      <c r="VWO63" s="228"/>
      <c r="VWP63" s="228"/>
      <c r="VWQ63" s="228"/>
      <c r="VWR63" s="228"/>
      <c r="VWS63" s="228"/>
      <c r="VWT63" s="228"/>
      <c r="VWU63" s="226"/>
      <c r="VWV63" s="226"/>
      <c r="VWW63" s="224"/>
      <c r="VWX63" s="225"/>
      <c r="VWY63" s="226"/>
      <c r="VWZ63" s="227"/>
      <c r="VXA63" s="228"/>
      <c r="VXB63" s="228"/>
      <c r="VXC63" s="228"/>
      <c r="VXD63" s="228"/>
      <c r="VXE63" s="228"/>
      <c r="VXF63" s="228"/>
      <c r="VXG63" s="226"/>
      <c r="VXH63" s="226"/>
      <c r="VXI63" s="224"/>
      <c r="VXJ63" s="225"/>
      <c r="VXK63" s="226"/>
      <c r="VXL63" s="227"/>
      <c r="VXM63" s="228"/>
      <c r="VXN63" s="228"/>
      <c r="VXO63" s="228"/>
      <c r="VXP63" s="228"/>
      <c r="VXQ63" s="228"/>
      <c r="VXR63" s="228"/>
      <c r="VXS63" s="226"/>
      <c r="VXT63" s="226"/>
      <c r="VXU63" s="224"/>
      <c r="VXV63" s="225"/>
      <c r="VXW63" s="226"/>
      <c r="VXX63" s="227"/>
      <c r="VXY63" s="228"/>
      <c r="VXZ63" s="228"/>
      <c r="VYA63" s="228"/>
      <c r="VYB63" s="228"/>
      <c r="VYC63" s="228"/>
      <c r="VYD63" s="228"/>
      <c r="VYE63" s="226"/>
      <c r="VYF63" s="226"/>
      <c r="VYG63" s="224"/>
      <c r="VYH63" s="225"/>
      <c r="VYI63" s="226"/>
      <c r="VYJ63" s="227"/>
      <c r="VYK63" s="228"/>
      <c r="VYL63" s="228"/>
      <c r="VYM63" s="228"/>
      <c r="VYN63" s="228"/>
      <c r="VYO63" s="228"/>
      <c r="VYP63" s="228"/>
      <c r="VYQ63" s="226"/>
      <c r="VYR63" s="226"/>
      <c r="VYS63" s="224"/>
      <c r="VYT63" s="225"/>
      <c r="VYU63" s="226"/>
      <c r="VYV63" s="227"/>
      <c r="VYW63" s="228"/>
      <c r="VYX63" s="228"/>
      <c r="VYY63" s="228"/>
      <c r="VYZ63" s="228"/>
      <c r="VZA63" s="228"/>
      <c r="VZB63" s="228"/>
      <c r="VZC63" s="226"/>
      <c r="VZD63" s="226"/>
      <c r="VZE63" s="224"/>
      <c r="VZF63" s="225"/>
      <c r="VZG63" s="226"/>
      <c r="VZH63" s="227"/>
      <c r="VZI63" s="228"/>
      <c r="VZJ63" s="228"/>
      <c r="VZK63" s="228"/>
      <c r="VZL63" s="228"/>
      <c r="VZM63" s="228"/>
      <c r="VZN63" s="228"/>
      <c r="VZO63" s="226"/>
      <c r="VZP63" s="226"/>
      <c r="VZQ63" s="224"/>
      <c r="VZR63" s="225"/>
      <c r="VZS63" s="226"/>
      <c r="VZT63" s="227"/>
      <c r="VZU63" s="228"/>
      <c r="VZV63" s="228"/>
      <c r="VZW63" s="228"/>
      <c r="VZX63" s="228"/>
      <c r="VZY63" s="228"/>
      <c r="VZZ63" s="228"/>
      <c r="WAA63" s="226"/>
      <c r="WAB63" s="226"/>
      <c r="WAC63" s="224"/>
      <c r="WAD63" s="225"/>
      <c r="WAE63" s="226"/>
      <c r="WAF63" s="227"/>
      <c r="WAG63" s="228"/>
      <c r="WAH63" s="228"/>
      <c r="WAI63" s="228"/>
      <c r="WAJ63" s="228"/>
      <c r="WAK63" s="228"/>
      <c r="WAL63" s="228"/>
      <c r="WAM63" s="226"/>
      <c r="WAN63" s="226"/>
      <c r="WAO63" s="224"/>
      <c r="WAP63" s="225"/>
      <c r="WAQ63" s="226"/>
      <c r="WAR63" s="227"/>
      <c r="WAS63" s="228"/>
      <c r="WAT63" s="228"/>
      <c r="WAU63" s="228"/>
      <c r="WAV63" s="228"/>
      <c r="WAW63" s="228"/>
      <c r="WAX63" s="228"/>
      <c r="WAY63" s="226"/>
      <c r="WAZ63" s="226"/>
      <c r="WBA63" s="224"/>
      <c r="WBB63" s="225"/>
      <c r="WBC63" s="226"/>
      <c r="WBD63" s="227"/>
      <c r="WBE63" s="228"/>
      <c r="WBF63" s="228"/>
      <c r="WBG63" s="228"/>
      <c r="WBH63" s="228"/>
      <c r="WBI63" s="228"/>
      <c r="WBJ63" s="228"/>
      <c r="WBK63" s="226"/>
      <c r="WBL63" s="226"/>
      <c r="WBM63" s="224"/>
      <c r="WBN63" s="225"/>
      <c r="WBO63" s="226"/>
      <c r="WBP63" s="227"/>
      <c r="WBQ63" s="228"/>
      <c r="WBR63" s="228"/>
      <c r="WBS63" s="228"/>
      <c r="WBT63" s="228"/>
      <c r="WBU63" s="228"/>
      <c r="WBV63" s="228"/>
      <c r="WBW63" s="226"/>
      <c r="WBX63" s="226"/>
      <c r="WBY63" s="224"/>
      <c r="WBZ63" s="225"/>
      <c r="WCA63" s="226"/>
      <c r="WCB63" s="227"/>
      <c r="WCC63" s="228"/>
      <c r="WCD63" s="228"/>
      <c r="WCE63" s="228"/>
      <c r="WCF63" s="228"/>
      <c r="WCG63" s="228"/>
      <c r="WCH63" s="228"/>
      <c r="WCI63" s="226"/>
      <c r="WCJ63" s="226"/>
      <c r="WCK63" s="224"/>
      <c r="WCL63" s="225"/>
      <c r="WCM63" s="226"/>
      <c r="WCN63" s="227"/>
      <c r="WCO63" s="228"/>
      <c r="WCP63" s="228"/>
      <c r="WCQ63" s="228"/>
      <c r="WCR63" s="228"/>
      <c r="WCS63" s="228"/>
      <c r="WCT63" s="228"/>
      <c r="WCU63" s="226"/>
      <c r="WCV63" s="226"/>
      <c r="WCW63" s="224"/>
      <c r="WCX63" s="225"/>
      <c r="WCY63" s="226"/>
      <c r="WCZ63" s="227"/>
      <c r="WDA63" s="228"/>
      <c r="WDB63" s="228"/>
      <c r="WDC63" s="228"/>
      <c r="WDD63" s="228"/>
      <c r="WDE63" s="228"/>
      <c r="WDF63" s="228"/>
      <c r="WDG63" s="226"/>
      <c r="WDH63" s="226"/>
      <c r="WDI63" s="224"/>
      <c r="WDJ63" s="225"/>
      <c r="WDK63" s="226"/>
      <c r="WDL63" s="227"/>
      <c r="WDM63" s="228"/>
      <c r="WDN63" s="228"/>
      <c r="WDO63" s="228"/>
      <c r="WDP63" s="228"/>
      <c r="WDQ63" s="228"/>
      <c r="WDR63" s="228"/>
      <c r="WDS63" s="226"/>
      <c r="WDT63" s="226"/>
      <c r="WDU63" s="224"/>
      <c r="WDV63" s="225"/>
      <c r="WDW63" s="226"/>
      <c r="WDX63" s="227"/>
      <c r="WDY63" s="228"/>
      <c r="WDZ63" s="228"/>
      <c r="WEA63" s="228"/>
      <c r="WEB63" s="228"/>
      <c r="WEC63" s="228"/>
      <c r="WED63" s="228"/>
      <c r="WEE63" s="226"/>
      <c r="WEF63" s="226"/>
      <c r="WEG63" s="224"/>
      <c r="WEH63" s="225"/>
      <c r="WEI63" s="226"/>
      <c r="WEJ63" s="227"/>
      <c r="WEK63" s="228"/>
      <c r="WEL63" s="228"/>
      <c r="WEM63" s="228"/>
      <c r="WEN63" s="228"/>
      <c r="WEO63" s="228"/>
      <c r="WEP63" s="228"/>
      <c r="WEQ63" s="226"/>
      <c r="WER63" s="226"/>
      <c r="WES63" s="224"/>
      <c r="WET63" s="225"/>
      <c r="WEU63" s="226"/>
      <c r="WEV63" s="227"/>
      <c r="WEW63" s="228"/>
      <c r="WEX63" s="228"/>
      <c r="WEY63" s="228"/>
      <c r="WEZ63" s="228"/>
      <c r="WFA63" s="228"/>
      <c r="WFB63" s="228"/>
      <c r="WFC63" s="226"/>
      <c r="WFD63" s="226"/>
      <c r="WFE63" s="224"/>
      <c r="WFF63" s="225"/>
      <c r="WFG63" s="226"/>
      <c r="WFH63" s="227"/>
      <c r="WFI63" s="228"/>
      <c r="WFJ63" s="228"/>
      <c r="WFK63" s="228"/>
      <c r="WFL63" s="228"/>
      <c r="WFM63" s="228"/>
      <c r="WFN63" s="228"/>
      <c r="WFO63" s="226"/>
      <c r="WFP63" s="226"/>
      <c r="WFQ63" s="224"/>
      <c r="WFR63" s="225"/>
      <c r="WFS63" s="226"/>
      <c r="WFT63" s="227"/>
      <c r="WFU63" s="228"/>
      <c r="WFV63" s="228"/>
      <c r="WFW63" s="228"/>
      <c r="WFX63" s="228"/>
      <c r="WFY63" s="228"/>
      <c r="WFZ63" s="228"/>
      <c r="WGA63" s="226"/>
      <c r="WGB63" s="226"/>
      <c r="WGC63" s="224"/>
      <c r="WGD63" s="225"/>
      <c r="WGE63" s="226"/>
      <c r="WGF63" s="227"/>
      <c r="WGG63" s="228"/>
      <c r="WGH63" s="228"/>
      <c r="WGI63" s="228"/>
      <c r="WGJ63" s="228"/>
      <c r="WGK63" s="228"/>
      <c r="WGL63" s="228"/>
      <c r="WGM63" s="226"/>
      <c r="WGN63" s="226"/>
      <c r="WGO63" s="224"/>
      <c r="WGP63" s="225"/>
      <c r="WGQ63" s="226"/>
      <c r="WGR63" s="227"/>
      <c r="WGS63" s="228"/>
      <c r="WGT63" s="228"/>
      <c r="WGU63" s="228"/>
      <c r="WGV63" s="228"/>
      <c r="WGW63" s="228"/>
      <c r="WGX63" s="228"/>
      <c r="WGY63" s="226"/>
      <c r="WGZ63" s="226"/>
      <c r="WHA63" s="224"/>
      <c r="WHB63" s="225"/>
      <c r="WHC63" s="226"/>
      <c r="WHD63" s="227"/>
      <c r="WHE63" s="228"/>
      <c r="WHF63" s="228"/>
      <c r="WHG63" s="228"/>
      <c r="WHH63" s="228"/>
      <c r="WHI63" s="228"/>
      <c r="WHJ63" s="228"/>
      <c r="WHK63" s="226"/>
      <c r="WHL63" s="226"/>
      <c r="WHM63" s="224"/>
      <c r="WHN63" s="225"/>
      <c r="WHO63" s="226"/>
      <c r="WHP63" s="227"/>
      <c r="WHQ63" s="228"/>
      <c r="WHR63" s="228"/>
      <c r="WHS63" s="228"/>
      <c r="WHT63" s="228"/>
      <c r="WHU63" s="228"/>
      <c r="WHV63" s="228"/>
      <c r="WHW63" s="226"/>
      <c r="WHX63" s="226"/>
      <c r="WHY63" s="224"/>
      <c r="WHZ63" s="225"/>
      <c r="WIA63" s="226"/>
      <c r="WIB63" s="227"/>
      <c r="WIC63" s="228"/>
      <c r="WID63" s="228"/>
      <c r="WIE63" s="228"/>
      <c r="WIF63" s="228"/>
      <c r="WIG63" s="228"/>
      <c r="WIH63" s="228"/>
      <c r="WII63" s="226"/>
      <c r="WIJ63" s="226"/>
      <c r="WIK63" s="224"/>
      <c r="WIL63" s="225"/>
      <c r="WIM63" s="226"/>
      <c r="WIN63" s="227"/>
      <c r="WIO63" s="228"/>
      <c r="WIP63" s="228"/>
      <c r="WIQ63" s="228"/>
      <c r="WIR63" s="228"/>
      <c r="WIS63" s="228"/>
      <c r="WIT63" s="228"/>
      <c r="WIU63" s="226"/>
      <c r="WIV63" s="226"/>
      <c r="WIW63" s="224"/>
      <c r="WIX63" s="225"/>
      <c r="WIY63" s="226"/>
      <c r="WIZ63" s="227"/>
      <c r="WJA63" s="228"/>
      <c r="WJB63" s="228"/>
      <c r="WJC63" s="228"/>
      <c r="WJD63" s="228"/>
      <c r="WJE63" s="228"/>
      <c r="WJF63" s="228"/>
      <c r="WJG63" s="226"/>
      <c r="WJH63" s="226"/>
      <c r="WJI63" s="224"/>
      <c r="WJJ63" s="225"/>
      <c r="WJK63" s="226"/>
      <c r="WJL63" s="227"/>
      <c r="WJM63" s="228"/>
      <c r="WJN63" s="228"/>
      <c r="WJO63" s="228"/>
      <c r="WJP63" s="228"/>
      <c r="WJQ63" s="228"/>
      <c r="WJR63" s="228"/>
      <c r="WJS63" s="226"/>
      <c r="WJT63" s="226"/>
      <c r="WJU63" s="224"/>
      <c r="WJV63" s="225"/>
      <c r="WJW63" s="226"/>
      <c r="WJX63" s="227"/>
      <c r="WJY63" s="228"/>
      <c r="WJZ63" s="228"/>
      <c r="WKA63" s="228"/>
      <c r="WKB63" s="228"/>
      <c r="WKC63" s="228"/>
      <c r="WKD63" s="228"/>
      <c r="WKE63" s="226"/>
      <c r="WKF63" s="226"/>
      <c r="WKG63" s="224"/>
      <c r="WKH63" s="225"/>
      <c r="WKI63" s="226"/>
      <c r="WKJ63" s="227"/>
      <c r="WKK63" s="228"/>
      <c r="WKL63" s="228"/>
      <c r="WKM63" s="228"/>
      <c r="WKN63" s="228"/>
      <c r="WKO63" s="228"/>
      <c r="WKP63" s="228"/>
      <c r="WKQ63" s="226"/>
      <c r="WKR63" s="226"/>
      <c r="WKS63" s="224"/>
      <c r="WKT63" s="225"/>
      <c r="WKU63" s="226"/>
      <c r="WKV63" s="227"/>
      <c r="WKW63" s="228"/>
      <c r="WKX63" s="228"/>
      <c r="WKY63" s="228"/>
      <c r="WKZ63" s="228"/>
      <c r="WLA63" s="228"/>
      <c r="WLB63" s="228"/>
      <c r="WLC63" s="226"/>
      <c r="WLD63" s="226"/>
      <c r="WLE63" s="224"/>
      <c r="WLF63" s="225"/>
      <c r="WLG63" s="226"/>
      <c r="WLH63" s="227"/>
      <c r="WLI63" s="228"/>
      <c r="WLJ63" s="228"/>
      <c r="WLK63" s="228"/>
      <c r="WLL63" s="228"/>
      <c r="WLM63" s="228"/>
      <c r="WLN63" s="228"/>
      <c r="WLO63" s="226"/>
      <c r="WLP63" s="226"/>
      <c r="WLQ63" s="224"/>
      <c r="WLR63" s="225"/>
      <c r="WLS63" s="226"/>
      <c r="WLT63" s="227"/>
      <c r="WLU63" s="228"/>
      <c r="WLV63" s="228"/>
      <c r="WLW63" s="228"/>
      <c r="WLX63" s="228"/>
      <c r="WLY63" s="228"/>
      <c r="WLZ63" s="228"/>
      <c r="WMA63" s="226"/>
      <c r="WMB63" s="226"/>
      <c r="WMC63" s="224"/>
      <c r="WMD63" s="225"/>
      <c r="WME63" s="226"/>
      <c r="WMF63" s="227"/>
      <c r="WMG63" s="228"/>
      <c r="WMH63" s="228"/>
      <c r="WMI63" s="228"/>
      <c r="WMJ63" s="228"/>
      <c r="WMK63" s="228"/>
      <c r="WML63" s="228"/>
      <c r="WMM63" s="226"/>
      <c r="WMN63" s="226"/>
      <c r="WMO63" s="224"/>
      <c r="WMP63" s="225"/>
      <c r="WMQ63" s="226"/>
      <c r="WMR63" s="227"/>
      <c r="WMS63" s="228"/>
      <c r="WMT63" s="228"/>
      <c r="WMU63" s="228"/>
      <c r="WMV63" s="228"/>
      <c r="WMW63" s="228"/>
      <c r="WMX63" s="228"/>
      <c r="WMY63" s="226"/>
      <c r="WMZ63" s="226"/>
      <c r="WNA63" s="224"/>
      <c r="WNB63" s="225"/>
      <c r="WNC63" s="226"/>
      <c r="WND63" s="227"/>
      <c r="WNE63" s="228"/>
      <c r="WNF63" s="228"/>
      <c r="WNG63" s="228"/>
      <c r="WNH63" s="228"/>
      <c r="WNI63" s="228"/>
      <c r="WNJ63" s="228"/>
      <c r="WNK63" s="226"/>
      <c r="WNL63" s="226"/>
      <c r="WNM63" s="224"/>
      <c r="WNN63" s="225"/>
      <c r="WNO63" s="226"/>
      <c r="WNP63" s="227"/>
      <c r="WNQ63" s="228"/>
      <c r="WNR63" s="228"/>
      <c r="WNS63" s="228"/>
      <c r="WNT63" s="228"/>
      <c r="WNU63" s="228"/>
      <c r="WNV63" s="228"/>
      <c r="WNW63" s="226"/>
      <c r="WNX63" s="226"/>
      <c r="WNY63" s="224"/>
      <c r="WNZ63" s="225"/>
      <c r="WOA63" s="226"/>
      <c r="WOB63" s="227"/>
      <c r="WOC63" s="228"/>
      <c r="WOD63" s="228"/>
      <c r="WOE63" s="228"/>
      <c r="WOF63" s="228"/>
      <c r="WOG63" s="228"/>
      <c r="WOH63" s="228"/>
      <c r="WOI63" s="226"/>
      <c r="WOJ63" s="226"/>
      <c r="WOK63" s="224"/>
      <c r="WOL63" s="225"/>
      <c r="WOM63" s="226"/>
      <c r="WON63" s="227"/>
      <c r="WOO63" s="228"/>
      <c r="WOP63" s="228"/>
      <c r="WOQ63" s="228"/>
      <c r="WOR63" s="228"/>
      <c r="WOS63" s="228"/>
      <c r="WOT63" s="228"/>
      <c r="WOU63" s="226"/>
      <c r="WOV63" s="226"/>
      <c r="WOW63" s="224"/>
      <c r="WOX63" s="225"/>
      <c r="WOY63" s="226"/>
      <c r="WOZ63" s="227"/>
      <c r="WPA63" s="228"/>
      <c r="WPB63" s="228"/>
      <c r="WPC63" s="228"/>
      <c r="WPD63" s="228"/>
      <c r="WPE63" s="228"/>
      <c r="WPF63" s="228"/>
      <c r="WPG63" s="226"/>
      <c r="WPH63" s="226"/>
      <c r="WPI63" s="224"/>
      <c r="WPJ63" s="225"/>
      <c r="WPK63" s="226"/>
      <c r="WPL63" s="227"/>
      <c r="WPM63" s="228"/>
      <c r="WPN63" s="228"/>
      <c r="WPO63" s="228"/>
      <c r="WPP63" s="228"/>
      <c r="WPQ63" s="228"/>
      <c r="WPR63" s="228"/>
      <c r="WPS63" s="226"/>
      <c r="WPT63" s="226"/>
      <c r="WPU63" s="224"/>
      <c r="WPV63" s="225"/>
      <c r="WPW63" s="226"/>
      <c r="WPX63" s="227"/>
      <c r="WPY63" s="228"/>
      <c r="WPZ63" s="228"/>
      <c r="WQA63" s="228"/>
      <c r="WQB63" s="228"/>
      <c r="WQC63" s="228"/>
      <c r="WQD63" s="228"/>
      <c r="WQE63" s="226"/>
      <c r="WQF63" s="226"/>
      <c r="WQG63" s="224"/>
      <c r="WQH63" s="225"/>
      <c r="WQI63" s="226"/>
      <c r="WQJ63" s="227"/>
      <c r="WQK63" s="228"/>
      <c r="WQL63" s="228"/>
      <c r="WQM63" s="228"/>
      <c r="WQN63" s="228"/>
      <c r="WQO63" s="228"/>
      <c r="WQP63" s="228"/>
      <c r="WQQ63" s="226"/>
      <c r="WQR63" s="226"/>
      <c r="WQS63" s="224"/>
      <c r="WQT63" s="225"/>
      <c r="WQU63" s="226"/>
      <c r="WQV63" s="227"/>
      <c r="WQW63" s="228"/>
      <c r="WQX63" s="228"/>
      <c r="WQY63" s="228"/>
      <c r="WQZ63" s="228"/>
      <c r="WRA63" s="228"/>
      <c r="WRB63" s="228"/>
      <c r="WRC63" s="226"/>
      <c r="WRD63" s="226"/>
      <c r="WRE63" s="224"/>
      <c r="WRF63" s="225"/>
      <c r="WRG63" s="226"/>
      <c r="WRH63" s="227"/>
      <c r="WRI63" s="228"/>
      <c r="WRJ63" s="228"/>
      <c r="WRK63" s="228"/>
      <c r="WRL63" s="228"/>
      <c r="WRM63" s="228"/>
      <c r="WRN63" s="228"/>
      <c r="WRO63" s="226"/>
      <c r="WRP63" s="226"/>
      <c r="WRQ63" s="224"/>
      <c r="WRR63" s="225"/>
      <c r="WRS63" s="226"/>
      <c r="WRT63" s="227"/>
      <c r="WRU63" s="228"/>
      <c r="WRV63" s="228"/>
      <c r="WRW63" s="228"/>
      <c r="WRX63" s="228"/>
      <c r="WRY63" s="228"/>
      <c r="WRZ63" s="228"/>
      <c r="WSA63" s="226"/>
      <c r="WSB63" s="226"/>
      <c r="WSC63" s="224"/>
      <c r="WSD63" s="225"/>
      <c r="WSE63" s="226"/>
      <c r="WSF63" s="227"/>
      <c r="WSG63" s="228"/>
      <c r="WSH63" s="228"/>
      <c r="WSI63" s="228"/>
      <c r="WSJ63" s="228"/>
      <c r="WSK63" s="228"/>
      <c r="WSL63" s="228"/>
      <c r="WSM63" s="226"/>
      <c r="WSN63" s="226"/>
      <c r="WSO63" s="224"/>
      <c r="WSP63" s="225"/>
      <c r="WSQ63" s="226"/>
      <c r="WSR63" s="227"/>
      <c r="WSS63" s="228"/>
      <c r="WST63" s="228"/>
      <c r="WSU63" s="228"/>
      <c r="WSV63" s="228"/>
      <c r="WSW63" s="228"/>
      <c r="WSX63" s="228"/>
      <c r="WSY63" s="226"/>
      <c r="WSZ63" s="226"/>
      <c r="WTA63" s="224"/>
      <c r="WTB63" s="225"/>
      <c r="WTC63" s="226"/>
      <c r="WTD63" s="227"/>
      <c r="WTE63" s="228"/>
      <c r="WTF63" s="228"/>
      <c r="WTG63" s="228"/>
      <c r="WTH63" s="228"/>
      <c r="WTI63" s="228"/>
      <c r="WTJ63" s="228"/>
      <c r="WTK63" s="226"/>
      <c r="WTL63" s="226"/>
      <c r="WTM63" s="224"/>
      <c r="WTN63" s="225"/>
      <c r="WTO63" s="226"/>
      <c r="WTP63" s="227"/>
      <c r="WTQ63" s="228"/>
      <c r="WTR63" s="228"/>
      <c r="WTS63" s="228"/>
      <c r="WTT63" s="228"/>
      <c r="WTU63" s="228"/>
      <c r="WTV63" s="228"/>
      <c r="WTW63" s="226"/>
      <c r="WTX63" s="226"/>
      <c r="WTY63" s="224"/>
      <c r="WTZ63" s="225"/>
      <c r="WUA63" s="226"/>
      <c r="WUB63" s="227"/>
      <c r="WUC63" s="228"/>
      <c r="WUD63" s="228"/>
      <c r="WUE63" s="228"/>
      <c r="WUF63" s="228"/>
      <c r="WUG63" s="228"/>
      <c r="WUH63" s="228"/>
      <c r="WUI63" s="226"/>
      <c r="WUJ63" s="226"/>
      <c r="WUK63" s="224"/>
      <c r="WUL63" s="225"/>
      <c r="WUM63" s="226"/>
      <c r="WUN63" s="227"/>
      <c r="WUO63" s="228"/>
      <c r="WUP63" s="228"/>
      <c r="WUQ63" s="228"/>
      <c r="WUR63" s="228"/>
      <c r="WUS63" s="228"/>
      <c r="WUT63" s="228"/>
      <c r="WUU63" s="226"/>
      <c r="WUV63" s="226"/>
      <c r="WUW63" s="224"/>
      <c r="WUX63" s="225"/>
      <c r="WUY63" s="226"/>
      <c r="WUZ63" s="227"/>
      <c r="WVA63" s="228"/>
      <c r="WVB63" s="228"/>
      <c r="WVC63" s="228"/>
      <c r="WVD63" s="228"/>
      <c r="WVE63" s="228"/>
      <c r="WVF63" s="228"/>
      <c r="WVG63" s="226"/>
      <c r="WVH63" s="226"/>
      <c r="WVI63" s="224"/>
      <c r="WVJ63" s="225"/>
      <c r="WVK63" s="226"/>
      <c r="WVL63" s="227"/>
      <c r="WVM63" s="228"/>
      <c r="WVN63" s="228"/>
      <c r="WVO63" s="228"/>
      <c r="WVP63" s="228"/>
      <c r="WVQ63" s="228"/>
      <c r="WVR63" s="228"/>
      <c r="WVS63" s="226"/>
      <c r="WVT63" s="226"/>
      <c r="WVU63" s="224"/>
      <c r="WVV63" s="225"/>
      <c r="WVW63" s="226"/>
      <c r="WVX63" s="227"/>
      <c r="WVY63" s="228"/>
      <c r="WVZ63" s="228"/>
      <c r="WWA63" s="228"/>
      <c r="WWB63" s="228"/>
      <c r="WWC63" s="228"/>
      <c r="WWD63" s="228"/>
      <c r="WWE63" s="226"/>
      <c r="WWF63" s="226"/>
      <c r="WWG63" s="224"/>
      <c r="WWH63" s="225"/>
      <c r="WWI63" s="226"/>
      <c r="WWJ63" s="227"/>
      <c r="WWK63" s="228"/>
      <c r="WWL63" s="228"/>
      <c r="WWM63" s="228"/>
      <c r="WWN63" s="228"/>
      <c r="WWO63" s="228"/>
      <c r="WWP63" s="228"/>
      <c r="WWQ63" s="226"/>
      <c r="WWR63" s="226"/>
      <c r="WWS63" s="224"/>
      <c r="WWT63" s="225"/>
      <c r="WWU63" s="226"/>
      <c r="WWV63" s="227"/>
      <c r="WWW63" s="228"/>
      <c r="WWX63" s="228"/>
      <c r="WWY63" s="228"/>
      <c r="WWZ63" s="228"/>
      <c r="WXA63" s="228"/>
      <c r="WXB63" s="228"/>
      <c r="WXC63" s="226"/>
      <c r="WXD63" s="226"/>
      <c r="WXE63" s="224"/>
      <c r="WXF63" s="225"/>
      <c r="WXG63" s="226"/>
      <c r="WXH63" s="227"/>
      <c r="WXI63" s="228"/>
      <c r="WXJ63" s="228"/>
      <c r="WXK63" s="228"/>
      <c r="WXL63" s="228"/>
      <c r="WXM63" s="228"/>
      <c r="WXN63" s="228"/>
      <c r="WXO63" s="226"/>
      <c r="WXP63" s="226"/>
      <c r="WXQ63" s="224"/>
      <c r="WXR63" s="225"/>
      <c r="WXS63" s="226"/>
      <c r="WXT63" s="227"/>
      <c r="WXU63" s="228"/>
      <c r="WXV63" s="228"/>
      <c r="WXW63" s="228"/>
      <c r="WXX63" s="228"/>
      <c r="WXY63" s="228"/>
      <c r="WXZ63" s="228"/>
      <c r="WYA63" s="226"/>
      <c r="WYB63" s="226"/>
      <c r="WYC63" s="224"/>
      <c r="WYD63" s="225"/>
      <c r="WYE63" s="226"/>
      <c r="WYF63" s="227"/>
      <c r="WYG63" s="228"/>
      <c r="WYH63" s="228"/>
      <c r="WYI63" s="228"/>
      <c r="WYJ63" s="228"/>
      <c r="WYK63" s="228"/>
      <c r="WYL63" s="228"/>
      <c r="WYM63" s="226"/>
      <c r="WYN63" s="226"/>
      <c r="WYO63" s="224"/>
      <c r="WYP63" s="225"/>
      <c r="WYQ63" s="226"/>
      <c r="WYR63" s="227"/>
      <c r="WYS63" s="228"/>
      <c r="WYT63" s="228"/>
      <c r="WYU63" s="228"/>
      <c r="WYV63" s="228"/>
      <c r="WYW63" s="228"/>
      <c r="WYX63" s="228"/>
      <c r="WYY63" s="226"/>
      <c r="WYZ63" s="226"/>
      <c r="WZA63" s="224"/>
      <c r="WZB63" s="225"/>
      <c r="WZC63" s="226"/>
      <c r="WZD63" s="227"/>
      <c r="WZE63" s="228"/>
      <c r="WZF63" s="228"/>
      <c r="WZG63" s="228"/>
      <c r="WZH63" s="228"/>
      <c r="WZI63" s="228"/>
      <c r="WZJ63" s="228"/>
      <c r="WZK63" s="226"/>
      <c r="WZL63" s="226"/>
      <c r="WZM63" s="224"/>
      <c r="WZN63" s="225"/>
      <c r="WZO63" s="226"/>
      <c r="WZP63" s="227"/>
      <c r="WZQ63" s="228"/>
      <c r="WZR63" s="228"/>
      <c r="WZS63" s="228"/>
      <c r="WZT63" s="228"/>
      <c r="WZU63" s="228"/>
      <c r="WZV63" s="228"/>
      <c r="WZW63" s="226"/>
      <c r="WZX63" s="226"/>
      <c r="WZY63" s="224"/>
      <c r="WZZ63" s="225"/>
      <c r="XAA63" s="226"/>
      <c r="XAB63" s="227"/>
      <c r="XAC63" s="228"/>
      <c r="XAD63" s="228"/>
      <c r="XAE63" s="228"/>
      <c r="XAF63" s="228"/>
      <c r="XAG63" s="228"/>
      <c r="XAH63" s="228"/>
      <c r="XAI63" s="226"/>
      <c r="XAJ63" s="226"/>
      <c r="XAK63" s="224"/>
      <c r="XAL63" s="225"/>
      <c r="XAM63" s="226"/>
      <c r="XAN63" s="227"/>
      <c r="XAO63" s="228"/>
      <c r="XAP63" s="228"/>
      <c r="XAQ63" s="228"/>
      <c r="XAR63" s="228"/>
      <c r="XAS63" s="228"/>
      <c r="XAT63" s="228"/>
      <c r="XAU63" s="226"/>
      <c r="XAV63" s="226"/>
      <c r="XAW63" s="224"/>
      <c r="XAX63" s="225"/>
      <c r="XAY63" s="226"/>
      <c r="XAZ63" s="227"/>
      <c r="XBA63" s="228"/>
      <c r="XBB63" s="228"/>
      <c r="XBC63" s="228"/>
      <c r="XBD63" s="228"/>
      <c r="XBE63" s="228"/>
      <c r="XBF63" s="228"/>
      <c r="XBG63" s="226"/>
      <c r="XBH63" s="226"/>
      <c r="XBI63" s="224"/>
      <c r="XBJ63" s="225"/>
      <c r="XBK63" s="226"/>
      <c r="XBL63" s="227"/>
      <c r="XBM63" s="228"/>
      <c r="XBN63" s="228"/>
      <c r="XBO63" s="228"/>
      <c r="XBP63" s="228"/>
      <c r="XBQ63" s="228"/>
      <c r="XBR63" s="228"/>
      <c r="XBS63" s="226"/>
      <c r="XBT63" s="226"/>
      <c r="XBU63" s="224"/>
      <c r="XBV63" s="225"/>
      <c r="XBW63" s="226"/>
      <c r="XBX63" s="227"/>
      <c r="XBY63" s="228"/>
      <c r="XBZ63" s="228"/>
      <c r="XCA63" s="228"/>
      <c r="XCB63" s="228"/>
      <c r="XCC63" s="228"/>
      <c r="XCD63" s="228"/>
      <c r="XCE63" s="226"/>
      <c r="XCF63" s="226"/>
      <c r="XCG63" s="224"/>
      <c r="XCH63" s="225"/>
      <c r="XCI63" s="226"/>
      <c r="XCJ63" s="227"/>
      <c r="XCK63" s="228"/>
      <c r="XCL63" s="228"/>
      <c r="XCM63" s="228"/>
      <c r="XCN63" s="228"/>
      <c r="XCO63" s="228"/>
      <c r="XCP63" s="228"/>
      <c r="XCQ63" s="226"/>
      <c r="XCR63" s="226"/>
      <c r="XCS63" s="224"/>
      <c r="XCT63" s="225"/>
      <c r="XCU63" s="226"/>
      <c r="XCV63" s="227"/>
      <c r="XCW63" s="228"/>
      <c r="XCX63" s="228"/>
      <c r="XCY63" s="228"/>
      <c r="XCZ63" s="228"/>
      <c r="XDA63" s="228"/>
      <c r="XDB63" s="228"/>
      <c r="XDC63" s="226"/>
      <c r="XDD63" s="226"/>
      <c r="XDE63" s="224"/>
      <c r="XDF63" s="225"/>
      <c r="XDG63" s="226"/>
      <c r="XDH63" s="227"/>
      <c r="XDI63" s="228"/>
      <c r="XDJ63" s="228"/>
      <c r="XDK63" s="228"/>
      <c r="XDL63" s="228"/>
      <c r="XDM63" s="228"/>
      <c r="XDN63" s="228"/>
      <c r="XDO63" s="226"/>
      <c r="XDP63" s="226"/>
      <c r="XDQ63" s="224"/>
      <c r="XDR63" s="225"/>
      <c r="XDS63" s="226"/>
      <c r="XDT63" s="227"/>
      <c r="XDU63" s="228"/>
      <c r="XDV63" s="228"/>
      <c r="XDW63" s="228"/>
      <c r="XDX63" s="228"/>
      <c r="XDY63" s="228"/>
      <c r="XDZ63" s="228"/>
      <c r="XEA63" s="226"/>
      <c r="XEB63" s="226"/>
      <c r="XEC63" s="224"/>
      <c r="XED63" s="225"/>
      <c r="XEE63" s="226"/>
      <c r="XEF63" s="227"/>
      <c r="XEG63" s="228"/>
      <c r="XEH63" s="228"/>
      <c r="XEI63" s="228"/>
      <c r="XEJ63" s="228"/>
      <c r="XEK63" s="228"/>
      <c r="XEL63" s="228"/>
      <c r="XEM63" s="226"/>
      <c r="XEN63" s="226"/>
      <c r="XEO63" s="224"/>
      <c r="XEP63" s="225"/>
      <c r="XEQ63" s="226"/>
      <c r="XER63" s="227"/>
      <c r="XES63" s="228"/>
      <c r="XET63" s="228"/>
      <c r="XEU63" s="228"/>
      <c r="XEV63" s="228"/>
      <c r="XEW63" s="228"/>
      <c r="XEX63" s="228"/>
      <c r="XEY63" s="226"/>
      <c r="XEZ63" s="226"/>
      <c r="XFA63" s="224"/>
      <c r="XFB63" s="225"/>
      <c r="XFC63" s="226"/>
      <c r="XFD63" s="227"/>
    </row>
    <row r="64" spans="1:16384" s="370" customFormat="1" ht="39.5">
      <c r="A64" s="112" t="s">
        <v>161</v>
      </c>
      <c r="B64" s="1" t="s">
        <v>116</v>
      </c>
      <c r="C64" s="2" t="s">
        <v>953</v>
      </c>
      <c r="D64" s="106" t="s">
        <v>1006</v>
      </c>
      <c r="E64" s="105" t="s">
        <v>0</v>
      </c>
      <c r="F64" s="1" t="s">
        <v>1</v>
      </c>
      <c r="G64" s="1" t="s">
        <v>2</v>
      </c>
      <c r="H64" s="1" t="s">
        <v>3</v>
      </c>
      <c r="I64" s="1" t="s">
        <v>4</v>
      </c>
      <c r="J64" s="1" t="s">
        <v>26</v>
      </c>
      <c r="K64" s="1" t="s">
        <v>5</v>
      </c>
      <c r="L64" s="232"/>
      <c r="N64" s="247"/>
    </row>
    <row r="65" spans="1:16384" s="370" customFormat="1">
      <c r="A65" s="263" t="s">
        <v>162</v>
      </c>
      <c r="B65" s="113" t="s">
        <v>121</v>
      </c>
      <c r="C65" s="114">
        <f>+FIRES!K66</f>
        <v>478.66859999999997</v>
      </c>
      <c r="D65" s="115">
        <f>+FIRES!K59</f>
        <v>299.60879999999997</v>
      </c>
      <c r="E65" s="114">
        <f>ROUND(FIRES!G46*'Prep%Fuelspercentage.direct'!$B39,0)</f>
        <v>0</v>
      </c>
      <c r="F65" s="114">
        <f>+FIRES!K59</f>
        <v>299.60879999999997</v>
      </c>
      <c r="G65" s="114">
        <f>ROUND(FIRES!I46*'Prep%Fuelspercentage.direct'!$B39,0)</f>
        <v>0</v>
      </c>
      <c r="H65" s="114">
        <f>ROUND(FIRES!J46*'Prep%Fuelspercentage.direct'!$B39,0)</f>
        <v>0</v>
      </c>
      <c r="I65" s="114">
        <f>ROUND(FIRES!K46*'Prep%Fuelspercentage.direct'!$B39,0)</f>
        <v>0</v>
      </c>
      <c r="J65" s="114">
        <f>ROUND(FIRES!L46*'Prep%Fuelspercentage.direct'!$B39,0)</f>
        <v>0</v>
      </c>
      <c r="K65" s="134">
        <f>SUM(E65:J65)</f>
        <v>299.60879999999997</v>
      </c>
      <c r="L65" s="228">
        <f>(K65*-$M$2)+K65</f>
        <v>299.60879999999997</v>
      </c>
      <c r="N65" s="247"/>
    </row>
    <row r="66" spans="1:16384" s="370" customFormat="1">
      <c r="A66" s="116" t="s">
        <v>150</v>
      </c>
      <c r="B66" s="117"/>
      <c r="C66" s="118"/>
      <c r="D66" s="119">
        <f>+FIRES!F51</f>
        <v>0</v>
      </c>
      <c r="E66" s="118">
        <f>-FIRES!G59</f>
        <v>-13.25544</v>
      </c>
      <c r="F66" s="118">
        <f>-FIRES!H59</f>
        <v>-177.50310399999998</v>
      </c>
      <c r="G66" s="118">
        <f>-FIRES!I59</f>
        <v>-34.573055999999994</v>
      </c>
      <c r="H66" s="118">
        <f>-FIRES!J59</f>
        <v>-74.277200000000008</v>
      </c>
      <c r="I66" s="118">
        <f>ROUND(-FIRES!K50*'Prep%Fuelspercentage.direct'!$B39,0)</f>
        <v>0</v>
      </c>
      <c r="J66" s="118">
        <f>ROUND(-FIRES!L50*'Prep%Fuelspercentage.direct'!$B39,0)</f>
        <v>0</v>
      </c>
      <c r="K66" s="135">
        <f>SUM(E66:J66)</f>
        <v>-299.60879999999997</v>
      </c>
      <c r="L66" s="233"/>
      <c r="N66" s="247"/>
    </row>
    <row r="67" spans="1:16384" s="370" customFormat="1">
      <c r="A67" s="263" t="s">
        <v>153</v>
      </c>
      <c r="B67" s="113" t="s">
        <v>154</v>
      </c>
      <c r="C67" s="114">
        <f>+'Misc and one-time - Fuels'!E39</f>
        <v>288</v>
      </c>
      <c r="D67" s="115">
        <f>+'Misc and one-time - Fuels'!F50</f>
        <v>288</v>
      </c>
      <c r="E67" s="114">
        <f>+'Misc and one-time - Fuels'!G39</f>
        <v>0</v>
      </c>
      <c r="F67" s="114">
        <f>+'Misc and one-time - Fuels'!H39</f>
        <v>0</v>
      </c>
      <c r="G67" s="114">
        <f>+'Misc and one-time - Fuels'!I39</f>
        <v>0</v>
      </c>
      <c r="H67" s="114">
        <f>+'Misc and one-time - Fuels'!J39</f>
        <v>0</v>
      </c>
      <c r="I67" s="114">
        <f>+'Misc and one-time - Fuels'!K39</f>
        <v>0</v>
      </c>
      <c r="J67" s="114">
        <f>+'Misc and one-time - Fuels'!L39</f>
        <v>288</v>
      </c>
      <c r="K67" s="134">
        <f>SUM(E67:J67)</f>
        <v>288</v>
      </c>
      <c r="L67" s="228">
        <f>(K67*-$M$2)+K67</f>
        <v>288</v>
      </c>
      <c r="N67" s="247"/>
    </row>
    <row r="68" spans="1:16384" s="370" customFormat="1">
      <c r="A68" s="116" t="s">
        <v>150</v>
      </c>
      <c r="B68" s="117"/>
      <c r="C68" s="118"/>
      <c r="D68" s="119">
        <f>+'Misc and one-time - Fuels'!E40</f>
        <v>0</v>
      </c>
      <c r="E68" s="118">
        <f>-'Misc and one-time - Fuels'!G50</f>
        <v>-71.72999999999999</v>
      </c>
      <c r="F68" s="118">
        <f>-'Misc and one-time - Fuels'!H50</f>
        <v>-104.11</v>
      </c>
      <c r="G68" s="118">
        <f>-'Misc and one-time - Fuels'!I50</f>
        <v>-66.89</v>
      </c>
      <c r="H68" s="118">
        <f>-'Misc and one-time - Fuels'!J50</f>
        <v>-45.28</v>
      </c>
      <c r="I68" s="118">
        <f>-'Misc and one-time - Fuels'!K50</f>
        <v>0</v>
      </c>
      <c r="J68" s="118">
        <f>-'Misc and one-time - Fuels'!L50</f>
        <v>0</v>
      </c>
      <c r="K68" s="135">
        <f>SUM(E68:J68)</f>
        <v>-288.01</v>
      </c>
      <c r="L68" s="233"/>
      <c r="N68" s="247"/>
    </row>
    <row r="69" spans="1:16384" s="370" customFormat="1">
      <c r="A69" s="137" t="s">
        <v>160</v>
      </c>
      <c r="B69" s="121"/>
      <c r="C69" s="124">
        <f t="shared" ref="C69:K69" si="21">SUM(C65:C68)</f>
        <v>766.66859999999997</v>
      </c>
      <c r="D69" s="108">
        <f t="shared" si="21"/>
        <v>587.60879999999997</v>
      </c>
      <c r="E69" s="124">
        <f t="shared" si="21"/>
        <v>-84.985439999999983</v>
      </c>
      <c r="F69" s="124">
        <f t="shared" si="21"/>
        <v>17.995695999999995</v>
      </c>
      <c r="G69" s="124">
        <f t="shared" si="21"/>
        <v>-101.46305599999999</v>
      </c>
      <c r="H69" s="124">
        <f t="shared" si="21"/>
        <v>-119.55720000000001</v>
      </c>
      <c r="I69" s="124">
        <f t="shared" si="21"/>
        <v>0</v>
      </c>
      <c r="J69" s="124">
        <f t="shared" si="21"/>
        <v>288</v>
      </c>
      <c r="K69" s="134">
        <f t="shared" si="21"/>
        <v>-9.9999999999909051E-3</v>
      </c>
      <c r="L69" s="390"/>
      <c r="N69" s="247"/>
    </row>
    <row r="70" spans="1:16384" s="149" customFormat="1">
      <c r="A70" s="224" t="s">
        <v>135</v>
      </c>
      <c r="B70" s="225"/>
      <c r="C70" s="226"/>
      <c r="D70" s="227"/>
      <c r="E70" s="226">
        <f t="shared" ref="E70:J70" si="22">(E69*-$M$2)+E69</f>
        <v>-84.985439999999983</v>
      </c>
      <c r="F70" s="226">
        <f t="shared" si="22"/>
        <v>17.995695999999995</v>
      </c>
      <c r="G70" s="226">
        <f t="shared" si="22"/>
        <v>-101.46305599999999</v>
      </c>
      <c r="H70" s="226">
        <f t="shared" si="22"/>
        <v>-119.55720000000001</v>
      </c>
      <c r="I70" s="226">
        <f t="shared" si="22"/>
        <v>0</v>
      </c>
      <c r="J70" s="226">
        <f t="shared" si="22"/>
        <v>288</v>
      </c>
      <c r="K70" s="228">
        <f>SUM(E70:J70)</f>
        <v>-9.9999999999909051E-3</v>
      </c>
      <c r="L70" s="226"/>
      <c r="M70" s="387"/>
      <c r="N70" s="388"/>
      <c r="O70" s="389"/>
      <c r="P70" s="370"/>
      <c r="Q70" s="370"/>
      <c r="R70" s="370"/>
      <c r="S70" s="370"/>
      <c r="T70" s="370"/>
      <c r="U70" s="370"/>
      <c r="V70" s="370"/>
      <c r="W70" s="370"/>
      <c r="X70" s="226"/>
      <c r="Y70" s="224"/>
      <c r="Z70" s="225"/>
      <c r="AA70" s="226"/>
      <c r="AB70" s="227"/>
      <c r="AC70" s="228"/>
      <c r="AD70" s="228"/>
      <c r="AE70" s="228"/>
      <c r="AF70" s="228"/>
      <c r="AG70" s="228"/>
      <c r="AH70" s="228"/>
      <c r="AI70" s="226"/>
      <c r="AJ70" s="226"/>
      <c r="AK70" s="224"/>
      <c r="AL70" s="225"/>
      <c r="AM70" s="226"/>
      <c r="AN70" s="227"/>
      <c r="AO70" s="228"/>
      <c r="AP70" s="228"/>
      <c r="AQ70" s="228"/>
      <c r="AR70" s="228"/>
      <c r="AS70" s="228"/>
      <c r="AT70" s="228"/>
      <c r="AU70" s="226"/>
      <c r="AV70" s="226"/>
      <c r="AW70" s="224"/>
      <c r="AX70" s="225"/>
      <c r="AY70" s="226"/>
      <c r="AZ70" s="227"/>
      <c r="BA70" s="228"/>
      <c r="BB70" s="228"/>
      <c r="BC70" s="228"/>
      <c r="BD70" s="228"/>
      <c r="BE70" s="228"/>
      <c r="BF70" s="228"/>
      <c r="BG70" s="226"/>
      <c r="BH70" s="226"/>
      <c r="BI70" s="224"/>
      <c r="BJ70" s="225"/>
      <c r="BK70" s="226"/>
      <c r="BL70" s="227"/>
      <c r="BM70" s="228"/>
      <c r="BN70" s="228"/>
      <c r="BO70" s="228"/>
      <c r="BP70" s="228"/>
      <c r="BQ70" s="228"/>
      <c r="BR70" s="228"/>
      <c r="BS70" s="226"/>
      <c r="BT70" s="226"/>
      <c r="BU70" s="224"/>
      <c r="BV70" s="225"/>
      <c r="BW70" s="226"/>
      <c r="BX70" s="227"/>
      <c r="BY70" s="228"/>
      <c r="BZ70" s="228"/>
      <c r="CA70" s="228"/>
      <c r="CB70" s="228"/>
      <c r="CC70" s="228"/>
      <c r="CD70" s="228"/>
      <c r="CE70" s="226"/>
      <c r="CF70" s="226"/>
      <c r="CG70" s="224"/>
      <c r="CH70" s="225"/>
      <c r="CI70" s="226"/>
      <c r="CJ70" s="227"/>
      <c r="CK70" s="228"/>
      <c r="CL70" s="228"/>
      <c r="CM70" s="228"/>
      <c r="CN70" s="228"/>
      <c r="CO70" s="228"/>
      <c r="CP70" s="228"/>
      <c r="CQ70" s="226"/>
      <c r="CR70" s="226"/>
      <c r="CS70" s="224"/>
      <c r="CT70" s="225"/>
      <c r="CU70" s="226"/>
      <c r="CV70" s="227"/>
      <c r="CW70" s="228"/>
      <c r="CX70" s="228"/>
      <c r="CY70" s="228"/>
      <c r="CZ70" s="228"/>
      <c r="DA70" s="228"/>
      <c r="DB70" s="228"/>
      <c r="DC70" s="226"/>
      <c r="DD70" s="226"/>
      <c r="DE70" s="224"/>
      <c r="DF70" s="225"/>
      <c r="DG70" s="226"/>
      <c r="DH70" s="227"/>
      <c r="DI70" s="228"/>
      <c r="DJ70" s="228"/>
      <c r="DK70" s="228"/>
      <c r="DL70" s="228"/>
      <c r="DM70" s="228"/>
      <c r="DN70" s="228"/>
      <c r="DO70" s="226"/>
      <c r="DP70" s="226"/>
      <c r="DQ70" s="224"/>
      <c r="DR70" s="225"/>
      <c r="DS70" s="226"/>
      <c r="DT70" s="227"/>
      <c r="DU70" s="228"/>
      <c r="DV70" s="228"/>
      <c r="DW70" s="228"/>
      <c r="DX70" s="228"/>
      <c r="DY70" s="228"/>
      <c r="DZ70" s="228"/>
      <c r="EA70" s="226"/>
      <c r="EB70" s="226"/>
      <c r="EC70" s="224"/>
      <c r="ED70" s="225"/>
      <c r="EE70" s="226"/>
      <c r="EF70" s="227"/>
      <c r="EG70" s="228"/>
      <c r="EH70" s="228"/>
      <c r="EI70" s="228"/>
      <c r="EJ70" s="228"/>
      <c r="EK70" s="228"/>
      <c r="EL70" s="228"/>
      <c r="EM70" s="226"/>
      <c r="EN70" s="226"/>
      <c r="EO70" s="224"/>
      <c r="EP70" s="225"/>
      <c r="EQ70" s="226"/>
      <c r="ER70" s="227"/>
      <c r="ES70" s="228"/>
      <c r="ET70" s="228"/>
      <c r="EU70" s="228"/>
      <c r="EV70" s="228"/>
      <c r="EW70" s="228"/>
      <c r="EX70" s="228"/>
      <c r="EY70" s="226"/>
      <c r="EZ70" s="226"/>
      <c r="FA70" s="224"/>
      <c r="FB70" s="225"/>
      <c r="FC70" s="226"/>
      <c r="FD70" s="227"/>
      <c r="FE70" s="228"/>
      <c r="FF70" s="228"/>
      <c r="FG70" s="228"/>
      <c r="FH70" s="228"/>
      <c r="FI70" s="228"/>
      <c r="FJ70" s="228"/>
      <c r="FK70" s="226"/>
      <c r="FL70" s="226"/>
      <c r="FM70" s="224"/>
      <c r="FN70" s="225"/>
      <c r="FO70" s="226"/>
      <c r="FP70" s="227"/>
      <c r="FQ70" s="228"/>
      <c r="FR70" s="228"/>
      <c r="FS70" s="228"/>
      <c r="FT70" s="228"/>
      <c r="FU70" s="228"/>
      <c r="FV70" s="228"/>
      <c r="FW70" s="226"/>
      <c r="FX70" s="226"/>
      <c r="FY70" s="224"/>
      <c r="FZ70" s="225"/>
      <c r="GA70" s="226"/>
      <c r="GB70" s="227"/>
      <c r="GC70" s="228"/>
      <c r="GD70" s="228"/>
      <c r="GE70" s="228"/>
      <c r="GF70" s="228"/>
      <c r="GG70" s="228"/>
      <c r="GH70" s="228"/>
      <c r="GI70" s="226"/>
      <c r="GJ70" s="226"/>
      <c r="GK70" s="224"/>
      <c r="GL70" s="225"/>
      <c r="GM70" s="226"/>
      <c r="GN70" s="227"/>
      <c r="GO70" s="228"/>
      <c r="GP70" s="228"/>
      <c r="GQ70" s="228"/>
      <c r="GR70" s="228"/>
      <c r="GS70" s="228"/>
      <c r="GT70" s="228"/>
      <c r="GU70" s="226"/>
      <c r="GV70" s="226"/>
      <c r="GW70" s="224"/>
      <c r="GX70" s="225"/>
      <c r="GY70" s="226"/>
      <c r="GZ70" s="227"/>
      <c r="HA70" s="228"/>
      <c r="HB70" s="228"/>
      <c r="HC70" s="228"/>
      <c r="HD70" s="228"/>
      <c r="HE70" s="228"/>
      <c r="HF70" s="228"/>
      <c r="HG70" s="226"/>
      <c r="HH70" s="226"/>
      <c r="HI70" s="224"/>
      <c r="HJ70" s="225"/>
      <c r="HK70" s="226"/>
      <c r="HL70" s="227"/>
      <c r="HM70" s="228"/>
      <c r="HN70" s="228"/>
      <c r="HO70" s="228"/>
      <c r="HP70" s="228"/>
      <c r="HQ70" s="228"/>
      <c r="HR70" s="228"/>
      <c r="HS70" s="226"/>
      <c r="HT70" s="226"/>
      <c r="HU70" s="224"/>
      <c r="HV70" s="225"/>
      <c r="HW70" s="226"/>
      <c r="HX70" s="227"/>
      <c r="HY70" s="228"/>
      <c r="HZ70" s="228"/>
      <c r="IA70" s="228"/>
      <c r="IB70" s="228"/>
      <c r="IC70" s="228"/>
      <c r="ID70" s="228"/>
      <c r="IE70" s="226"/>
      <c r="IF70" s="226"/>
      <c r="IG70" s="224"/>
      <c r="IH70" s="225"/>
      <c r="II70" s="226"/>
      <c r="IJ70" s="227"/>
      <c r="IK70" s="228"/>
      <c r="IL70" s="228"/>
      <c r="IM70" s="228"/>
      <c r="IN70" s="228"/>
      <c r="IO70" s="228"/>
      <c r="IP70" s="228"/>
      <c r="IQ70" s="226"/>
      <c r="IR70" s="226"/>
      <c r="IS70" s="224"/>
      <c r="IT70" s="225"/>
      <c r="IU70" s="226"/>
      <c r="IV70" s="227"/>
      <c r="IW70" s="228"/>
      <c r="IX70" s="228"/>
      <c r="IY70" s="228"/>
      <c r="IZ70" s="228"/>
      <c r="JA70" s="228"/>
      <c r="JB70" s="228"/>
      <c r="JC70" s="226"/>
      <c r="JD70" s="226"/>
      <c r="JE70" s="224"/>
      <c r="JF70" s="225"/>
      <c r="JG70" s="226"/>
      <c r="JH70" s="227"/>
      <c r="JI70" s="228"/>
      <c r="JJ70" s="228"/>
      <c r="JK70" s="228"/>
      <c r="JL70" s="228"/>
      <c r="JM70" s="228"/>
      <c r="JN70" s="228"/>
      <c r="JO70" s="226"/>
      <c r="JP70" s="226"/>
      <c r="JQ70" s="224"/>
      <c r="JR70" s="225"/>
      <c r="JS70" s="226"/>
      <c r="JT70" s="227"/>
      <c r="JU70" s="228"/>
      <c r="JV70" s="228"/>
      <c r="JW70" s="228"/>
      <c r="JX70" s="228"/>
      <c r="JY70" s="228"/>
      <c r="JZ70" s="228"/>
      <c r="KA70" s="226"/>
      <c r="KB70" s="226"/>
      <c r="KC70" s="224"/>
      <c r="KD70" s="225"/>
      <c r="KE70" s="226"/>
      <c r="KF70" s="227"/>
      <c r="KG70" s="228"/>
      <c r="KH70" s="228"/>
      <c r="KI70" s="228"/>
      <c r="KJ70" s="228"/>
      <c r="KK70" s="228"/>
      <c r="KL70" s="228"/>
      <c r="KM70" s="226"/>
      <c r="KN70" s="226"/>
      <c r="KO70" s="224"/>
      <c r="KP70" s="225"/>
      <c r="KQ70" s="226"/>
      <c r="KR70" s="227"/>
      <c r="KS70" s="228"/>
      <c r="KT70" s="228"/>
      <c r="KU70" s="228"/>
      <c r="KV70" s="228"/>
      <c r="KW70" s="228"/>
      <c r="KX70" s="228"/>
      <c r="KY70" s="226"/>
      <c r="KZ70" s="226"/>
      <c r="LA70" s="224"/>
      <c r="LB70" s="225"/>
      <c r="LC70" s="226"/>
      <c r="LD70" s="227"/>
      <c r="LE70" s="228"/>
      <c r="LF70" s="228"/>
      <c r="LG70" s="228"/>
      <c r="LH70" s="228"/>
      <c r="LI70" s="228"/>
      <c r="LJ70" s="228"/>
      <c r="LK70" s="226"/>
      <c r="LL70" s="226"/>
      <c r="LM70" s="224"/>
      <c r="LN70" s="225"/>
      <c r="LO70" s="226"/>
      <c r="LP70" s="227"/>
      <c r="LQ70" s="228"/>
      <c r="LR70" s="228"/>
      <c r="LS70" s="228"/>
      <c r="LT70" s="228"/>
      <c r="LU70" s="228"/>
      <c r="LV70" s="228"/>
      <c r="LW70" s="226"/>
      <c r="LX70" s="226"/>
      <c r="LY70" s="224"/>
      <c r="LZ70" s="225"/>
      <c r="MA70" s="226"/>
      <c r="MB70" s="227"/>
      <c r="MC70" s="228"/>
      <c r="MD70" s="228"/>
      <c r="ME70" s="228"/>
      <c r="MF70" s="228"/>
      <c r="MG70" s="228"/>
      <c r="MH70" s="228"/>
      <c r="MI70" s="226"/>
      <c r="MJ70" s="226"/>
      <c r="MK70" s="224"/>
      <c r="ML70" s="225"/>
      <c r="MM70" s="226"/>
      <c r="MN70" s="227"/>
      <c r="MO70" s="228"/>
      <c r="MP70" s="228"/>
      <c r="MQ70" s="228"/>
      <c r="MR70" s="228"/>
      <c r="MS70" s="228"/>
      <c r="MT70" s="228"/>
      <c r="MU70" s="226"/>
      <c r="MV70" s="226"/>
      <c r="MW70" s="224"/>
      <c r="MX70" s="225"/>
      <c r="MY70" s="226"/>
      <c r="MZ70" s="227"/>
      <c r="NA70" s="228"/>
      <c r="NB70" s="228"/>
      <c r="NC70" s="228"/>
      <c r="ND70" s="228"/>
      <c r="NE70" s="228"/>
      <c r="NF70" s="228"/>
      <c r="NG70" s="226"/>
      <c r="NH70" s="226"/>
      <c r="NI70" s="224"/>
      <c r="NJ70" s="225"/>
      <c r="NK70" s="226"/>
      <c r="NL70" s="227"/>
      <c r="NM70" s="228"/>
      <c r="NN70" s="228"/>
      <c r="NO70" s="228"/>
      <c r="NP70" s="228"/>
      <c r="NQ70" s="228"/>
      <c r="NR70" s="228"/>
      <c r="NS70" s="226"/>
      <c r="NT70" s="226"/>
      <c r="NU70" s="224"/>
      <c r="NV70" s="225"/>
      <c r="NW70" s="226"/>
      <c r="NX70" s="227"/>
      <c r="NY70" s="228"/>
      <c r="NZ70" s="228"/>
      <c r="OA70" s="228"/>
      <c r="OB70" s="228"/>
      <c r="OC70" s="228"/>
      <c r="OD70" s="228"/>
      <c r="OE70" s="226"/>
      <c r="OF70" s="226"/>
      <c r="OG70" s="224"/>
      <c r="OH70" s="225"/>
      <c r="OI70" s="226"/>
      <c r="OJ70" s="227"/>
      <c r="OK70" s="228"/>
      <c r="OL70" s="228"/>
      <c r="OM70" s="228"/>
      <c r="ON70" s="228"/>
      <c r="OO70" s="228"/>
      <c r="OP70" s="228"/>
      <c r="OQ70" s="226"/>
      <c r="OR70" s="226"/>
      <c r="OS70" s="224"/>
      <c r="OT70" s="225"/>
      <c r="OU70" s="226"/>
      <c r="OV70" s="227"/>
      <c r="OW70" s="228"/>
      <c r="OX70" s="228"/>
      <c r="OY70" s="228"/>
      <c r="OZ70" s="228"/>
      <c r="PA70" s="228"/>
      <c r="PB70" s="228"/>
      <c r="PC70" s="226"/>
      <c r="PD70" s="226"/>
      <c r="PE70" s="224"/>
      <c r="PF70" s="225"/>
      <c r="PG70" s="226"/>
      <c r="PH70" s="227"/>
      <c r="PI70" s="228"/>
      <c r="PJ70" s="228"/>
      <c r="PK70" s="228"/>
      <c r="PL70" s="228"/>
      <c r="PM70" s="228"/>
      <c r="PN70" s="228"/>
      <c r="PO70" s="226"/>
      <c r="PP70" s="226"/>
      <c r="PQ70" s="224"/>
      <c r="PR70" s="225"/>
      <c r="PS70" s="226"/>
      <c r="PT70" s="227"/>
      <c r="PU70" s="228"/>
      <c r="PV70" s="228"/>
      <c r="PW70" s="228"/>
      <c r="PX70" s="228"/>
      <c r="PY70" s="228"/>
      <c r="PZ70" s="228"/>
      <c r="QA70" s="226"/>
      <c r="QB70" s="226"/>
      <c r="QC70" s="224"/>
      <c r="QD70" s="225"/>
      <c r="QE70" s="226"/>
      <c r="QF70" s="227"/>
      <c r="QG70" s="228"/>
      <c r="QH70" s="228"/>
      <c r="QI70" s="228"/>
      <c r="QJ70" s="228"/>
      <c r="QK70" s="228"/>
      <c r="QL70" s="228"/>
      <c r="QM70" s="226"/>
      <c r="QN70" s="226"/>
      <c r="QO70" s="224"/>
      <c r="QP70" s="225"/>
      <c r="QQ70" s="226"/>
      <c r="QR70" s="227"/>
      <c r="QS70" s="228"/>
      <c r="QT70" s="228"/>
      <c r="QU70" s="228"/>
      <c r="QV70" s="228"/>
      <c r="QW70" s="228"/>
      <c r="QX70" s="228"/>
      <c r="QY70" s="226"/>
      <c r="QZ70" s="226"/>
      <c r="RA70" s="224"/>
      <c r="RB70" s="225"/>
      <c r="RC70" s="226"/>
      <c r="RD70" s="227"/>
      <c r="RE70" s="228"/>
      <c r="RF70" s="228"/>
      <c r="RG70" s="228"/>
      <c r="RH70" s="228"/>
      <c r="RI70" s="228"/>
      <c r="RJ70" s="228"/>
      <c r="RK70" s="226"/>
      <c r="RL70" s="226"/>
      <c r="RM70" s="224"/>
      <c r="RN70" s="225"/>
      <c r="RO70" s="226"/>
      <c r="RP70" s="227"/>
      <c r="RQ70" s="228"/>
      <c r="RR70" s="228"/>
      <c r="RS70" s="228"/>
      <c r="RT70" s="228"/>
      <c r="RU70" s="228"/>
      <c r="RV70" s="228"/>
      <c r="RW70" s="226"/>
      <c r="RX70" s="226"/>
      <c r="RY70" s="224"/>
      <c r="RZ70" s="225"/>
      <c r="SA70" s="226"/>
      <c r="SB70" s="227"/>
      <c r="SC70" s="228"/>
      <c r="SD70" s="228"/>
      <c r="SE70" s="228"/>
      <c r="SF70" s="228"/>
      <c r="SG70" s="228"/>
      <c r="SH70" s="228"/>
      <c r="SI70" s="226"/>
      <c r="SJ70" s="226"/>
      <c r="SK70" s="224"/>
      <c r="SL70" s="225"/>
      <c r="SM70" s="226"/>
      <c r="SN70" s="227"/>
      <c r="SO70" s="228"/>
      <c r="SP70" s="228"/>
      <c r="SQ70" s="228"/>
      <c r="SR70" s="228"/>
      <c r="SS70" s="228"/>
      <c r="ST70" s="228"/>
      <c r="SU70" s="226"/>
      <c r="SV70" s="226"/>
      <c r="SW70" s="224"/>
      <c r="SX70" s="225"/>
      <c r="SY70" s="226"/>
      <c r="SZ70" s="227"/>
      <c r="TA70" s="228"/>
      <c r="TB70" s="228"/>
      <c r="TC70" s="228"/>
      <c r="TD70" s="228"/>
      <c r="TE70" s="228"/>
      <c r="TF70" s="228"/>
      <c r="TG70" s="226"/>
      <c r="TH70" s="226"/>
      <c r="TI70" s="224"/>
      <c r="TJ70" s="225"/>
      <c r="TK70" s="226"/>
      <c r="TL70" s="227"/>
      <c r="TM70" s="228"/>
      <c r="TN70" s="228"/>
      <c r="TO70" s="228"/>
      <c r="TP70" s="228"/>
      <c r="TQ70" s="228"/>
      <c r="TR70" s="228"/>
      <c r="TS70" s="226"/>
      <c r="TT70" s="226"/>
      <c r="TU70" s="224"/>
      <c r="TV70" s="225"/>
      <c r="TW70" s="226"/>
      <c r="TX70" s="227"/>
      <c r="TY70" s="228"/>
      <c r="TZ70" s="228"/>
      <c r="UA70" s="228"/>
      <c r="UB70" s="228"/>
      <c r="UC70" s="228"/>
      <c r="UD70" s="228"/>
      <c r="UE70" s="226"/>
      <c r="UF70" s="226"/>
      <c r="UG70" s="224"/>
      <c r="UH70" s="225"/>
      <c r="UI70" s="226"/>
      <c r="UJ70" s="227"/>
      <c r="UK70" s="228"/>
      <c r="UL70" s="228"/>
      <c r="UM70" s="228"/>
      <c r="UN70" s="228"/>
      <c r="UO70" s="228"/>
      <c r="UP70" s="228"/>
      <c r="UQ70" s="226"/>
      <c r="UR70" s="226"/>
      <c r="US70" s="224"/>
      <c r="UT70" s="225"/>
      <c r="UU70" s="226"/>
      <c r="UV70" s="227"/>
      <c r="UW70" s="228"/>
      <c r="UX70" s="228"/>
      <c r="UY70" s="228"/>
      <c r="UZ70" s="228"/>
      <c r="VA70" s="228"/>
      <c r="VB70" s="228"/>
      <c r="VC70" s="226"/>
      <c r="VD70" s="226"/>
      <c r="VE70" s="224"/>
      <c r="VF70" s="225"/>
      <c r="VG70" s="226"/>
      <c r="VH70" s="227"/>
      <c r="VI70" s="228"/>
      <c r="VJ70" s="228"/>
      <c r="VK70" s="228"/>
      <c r="VL70" s="228"/>
      <c r="VM70" s="228"/>
      <c r="VN70" s="228"/>
      <c r="VO70" s="226"/>
      <c r="VP70" s="226"/>
      <c r="VQ70" s="224"/>
      <c r="VR70" s="225"/>
      <c r="VS70" s="226"/>
      <c r="VT70" s="227"/>
      <c r="VU70" s="228"/>
      <c r="VV70" s="228"/>
      <c r="VW70" s="228"/>
      <c r="VX70" s="228"/>
      <c r="VY70" s="228"/>
      <c r="VZ70" s="228"/>
      <c r="WA70" s="226"/>
      <c r="WB70" s="226"/>
      <c r="WC70" s="224"/>
      <c r="WD70" s="225"/>
      <c r="WE70" s="226"/>
      <c r="WF70" s="227"/>
      <c r="WG70" s="228"/>
      <c r="WH70" s="228"/>
      <c r="WI70" s="228"/>
      <c r="WJ70" s="228"/>
      <c r="WK70" s="228"/>
      <c r="WL70" s="228"/>
      <c r="WM70" s="226"/>
      <c r="WN70" s="226"/>
      <c r="WO70" s="224"/>
      <c r="WP70" s="225"/>
      <c r="WQ70" s="226"/>
      <c r="WR70" s="227"/>
      <c r="WS70" s="228"/>
      <c r="WT70" s="228"/>
      <c r="WU70" s="228"/>
      <c r="WV70" s="228"/>
      <c r="WW70" s="228"/>
      <c r="WX70" s="228"/>
      <c r="WY70" s="226"/>
      <c r="WZ70" s="226"/>
      <c r="XA70" s="224"/>
      <c r="XB70" s="225"/>
      <c r="XC70" s="226"/>
      <c r="XD70" s="227"/>
      <c r="XE70" s="228"/>
      <c r="XF70" s="228"/>
      <c r="XG70" s="228"/>
      <c r="XH70" s="228"/>
      <c r="XI70" s="228"/>
      <c r="XJ70" s="228"/>
      <c r="XK70" s="226"/>
      <c r="XL70" s="226"/>
      <c r="XM70" s="224"/>
      <c r="XN70" s="225"/>
      <c r="XO70" s="226"/>
      <c r="XP70" s="227"/>
      <c r="XQ70" s="228"/>
      <c r="XR70" s="228"/>
      <c r="XS70" s="228"/>
      <c r="XT70" s="228"/>
      <c r="XU70" s="228"/>
      <c r="XV70" s="228"/>
      <c r="XW70" s="226"/>
      <c r="XX70" s="226"/>
      <c r="XY70" s="224"/>
      <c r="XZ70" s="225"/>
      <c r="YA70" s="226"/>
      <c r="YB70" s="227"/>
      <c r="YC70" s="228"/>
      <c r="YD70" s="228"/>
      <c r="YE70" s="228"/>
      <c r="YF70" s="228"/>
      <c r="YG70" s="228"/>
      <c r="YH70" s="228"/>
      <c r="YI70" s="226"/>
      <c r="YJ70" s="226"/>
      <c r="YK70" s="224"/>
      <c r="YL70" s="225"/>
      <c r="YM70" s="226"/>
      <c r="YN70" s="227"/>
      <c r="YO70" s="228"/>
      <c r="YP70" s="228"/>
      <c r="YQ70" s="228"/>
      <c r="YR70" s="228"/>
      <c r="YS70" s="228"/>
      <c r="YT70" s="228"/>
      <c r="YU70" s="226"/>
      <c r="YV70" s="226"/>
      <c r="YW70" s="224"/>
      <c r="YX70" s="225"/>
      <c r="YY70" s="226"/>
      <c r="YZ70" s="227"/>
      <c r="ZA70" s="228"/>
      <c r="ZB70" s="228"/>
      <c r="ZC70" s="228"/>
      <c r="ZD70" s="228"/>
      <c r="ZE70" s="228"/>
      <c r="ZF70" s="228"/>
      <c r="ZG70" s="226"/>
      <c r="ZH70" s="226"/>
      <c r="ZI70" s="224"/>
      <c r="ZJ70" s="225"/>
      <c r="ZK70" s="226"/>
      <c r="ZL70" s="227"/>
      <c r="ZM70" s="228"/>
      <c r="ZN70" s="228"/>
      <c r="ZO70" s="228"/>
      <c r="ZP70" s="228"/>
      <c r="ZQ70" s="228"/>
      <c r="ZR70" s="228"/>
      <c r="ZS70" s="226"/>
      <c r="ZT70" s="226"/>
      <c r="ZU70" s="224"/>
      <c r="ZV70" s="225"/>
      <c r="ZW70" s="226"/>
      <c r="ZX70" s="227"/>
      <c r="ZY70" s="228"/>
      <c r="ZZ70" s="228"/>
      <c r="AAA70" s="228"/>
      <c r="AAB70" s="228"/>
      <c r="AAC70" s="228"/>
      <c r="AAD70" s="228"/>
      <c r="AAE70" s="226"/>
      <c r="AAF70" s="226"/>
      <c r="AAG70" s="224"/>
      <c r="AAH70" s="225"/>
      <c r="AAI70" s="226"/>
      <c r="AAJ70" s="227"/>
      <c r="AAK70" s="228"/>
      <c r="AAL70" s="228"/>
      <c r="AAM70" s="228"/>
      <c r="AAN70" s="228"/>
      <c r="AAO70" s="228"/>
      <c r="AAP70" s="228"/>
      <c r="AAQ70" s="226"/>
      <c r="AAR70" s="226"/>
      <c r="AAS70" s="224"/>
      <c r="AAT70" s="225"/>
      <c r="AAU70" s="226"/>
      <c r="AAV70" s="227"/>
      <c r="AAW70" s="228"/>
      <c r="AAX70" s="228"/>
      <c r="AAY70" s="228"/>
      <c r="AAZ70" s="228"/>
      <c r="ABA70" s="228"/>
      <c r="ABB70" s="228"/>
      <c r="ABC70" s="226"/>
      <c r="ABD70" s="226"/>
      <c r="ABE70" s="224"/>
      <c r="ABF70" s="225"/>
      <c r="ABG70" s="226"/>
      <c r="ABH70" s="227"/>
      <c r="ABI70" s="228"/>
      <c r="ABJ70" s="228"/>
      <c r="ABK70" s="228"/>
      <c r="ABL70" s="228"/>
      <c r="ABM70" s="228"/>
      <c r="ABN70" s="228"/>
      <c r="ABO70" s="226"/>
      <c r="ABP70" s="226"/>
      <c r="ABQ70" s="224"/>
      <c r="ABR70" s="225"/>
      <c r="ABS70" s="226"/>
      <c r="ABT70" s="227"/>
      <c r="ABU70" s="228"/>
      <c r="ABV70" s="228"/>
      <c r="ABW70" s="228"/>
      <c r="ABX70" s="228"/>
      <c r="ABY70" s="228"/>
      <c r="ABZ70" s="228"/>
      <c r="ACA70" s="226"/>
      <c r="ACB70" s="226"/>
      <c r="ACC70" s="224"/>
      <c r="ACD70" s="225"/>
      <c r="ACE70" s="226"/>
      <c r="ACF70" s="227"/>
      <c r="ACG70" s="228"/>
      <c r="ACH70" s="228"/>
      <c r="ACI70" s="228"/>
      <c r="ACJ70" s="228"/>
      <c r="ACK70" s="228"/>
      <c r="ACL70" s="228"/>
      <c r="ACM70" s="226"/>
      <c r="ACN70" s="226"/>
      <c r="ACO70" s="224"/>
      <c r="ACP70" s="225"/>
      <c r="ACQ70" s="226"/>
      <c r="ACR70" s="227"/>
      <c r="ACS70" s="228"/>
      <c r="ACT70" s="228"/>
      <c r="ACU70" s="228"/>
      <c r="ACV70" s="228"/>
      <c r="ACW70" s="228"/>
      <c r="ACX70" s="228"/>
      <c r="ACY70" s="226"/>
      <c r="ACZ70" s="226"/>
      <c r="ADA70" s="224"/>
      <c r="ADB70" s="225"/>
      <c r="ADC70" s="226"/>
      <c r="ADD70" s="227"/>
      <c r="ADE70" s="228"/>
      <c r="ADF70" s="228"/>
      <c r="ADG70" s="228"/>
      <c r="ADH70" s="228"/>
      <c r="ADI70" s="228"/>
      <c r="ADJ70" s="228"/>
      <c r="ADK70" s="226"/>
      <c r="ADL70" s="226"/>
      <c r="ADM70" s="224"/>
      <c r="ADN70" s="225"/>
      <c r="ADO70" s="226"/>
      <c r="ADP70" s="227"/>
      <c r="ADQ70" s="228"/>
      <c r="ADR70" s="228"/>
      <c r="ADS70" s="228"/>
      <c r="ADT70" s="228"/>
      <c r="ADU70" s="228"/>
      <c r="ADV70" s="228"/>
      <c r="ADW70" s="226"/>
      <c r="ADX70" s="226"/>
      <c r="ADY70" s="224"/>
      <c r="ADZ70" s="225"/>
      <c r="AEA70" s="226"/>
      <c r="AEB70" s="227"/>
      <c r="AEC70" s="228"/>
      <c r="AED70" s="228"/>
      <c r="AEE70" s="228"/>
      <c r="AEF70" s="228"/>
      <c r="AEG70" s="228"/>
      <c r="AEH70" s="228"/>
      <c r="AEI70" s="226"/>
      <c r="AEJ70" s="226"/>
      <c r="AEK70" s="224"/>
      <c r="AEL70" s="225"/>
      <c r="AEM70" s="226"/>
      <c r="AEN70" s="227"/>
      <c r="AEO70" s="228"/>
      <c r="AEP70" s="228"/>
      <c r="AEQ70" s="228"/>
      <c r="AER70" s="228"/>
      <c r="AES70" s="228"/>
      <c r="AET70" s="228"/>
      <c r="AEU70" s="226"/>
      <c r="AEV70" s="226"/>
      <c r="AEW70" s="224"/>
      <c r="AEX70" s="225"/>
      <c r="AEY70" s="226"/>
      <c r="AEZ70" s="227"/>
      <c r="AFA70" s="228"/>
      <c r="AFB70" s="228"/>
      <c r="AFC70" s="228"/>
      <c r="AFD70" s="228"/>
      <c r="AFE70" s="228"/>
      <c r="AFF70" s="228"/>
      <c r="AFG70" s="226"/>
      <c r="AFH70" s="226"/>
      <c r="AFI70" s="224"/>
      <c r="AFJ70" s="225"/>
      <c r="AFK70" s="226"/>
      <c r="AFL70" s="227"/>
      <c r="AFM70" s="228"/>
      <c r="AFN70" s="228"/>
      <c r="AFO70" s="228"/>
      <c r="AFP70" s="228"/>
      <c r="AFQ70" s="228"/>
      <c r="AFR70" s="228"/>
      <c r="AFS70" s="226"/>
      <c r="AFT70" s="226"/>
      <c r="AFU70" s="224"/>
      <c r="AFV70" s="225"/>
      <c r="AFW70" s="226"/>
      <c r="AFX70" s="227"/>
      <c r="AFY70" s="228"/>
      <c r="AFZ70" s="228"/>
      <c r="AGA70" s="228"/>
      <c r="AGB70" s="228"/>
      <c r="AGC70" s="228"/>
      <c r="AGD70" s="228"/>
      <c r="AGE70" s="226"/>
      <c r="AGF70" s="226"/>
      <c r="AGG70" s="224"/>
      <c r="AGH70" s="225"/>
      <c r="AGI70" s="226"/>
      <c r="AGJ70" s="227"/>
      <c r="AGK70" s="228"/>
      <c r="AGL70" s="228"/>
      <c r="AGM70" s="228"/>
      <c r="AGN70" s="228"/>
      <c r="AGO70" s="228"/>
      <c r="AGP70" s="228"/>
      <c r="AGQ70" s="226"/>
      <c r="AGR70" s="226"/>
      <c r="AGS70" s="224"/>
      <c r="AGT70" s="225"/>
      <c r="AGU70" s="226"/>
      <c r="AGV70" s="227"/>
      <c r="AGW70" s="228"/>
      <c r="AGX70" s="228"/>
      <c r="AGY70" s="228"/>
      <c r="AGZ70" s="228"/>
      <c r="AHA70" s="228"/>
      <c r="AHB70" s="228"/>
      <c r="AHC70" s="226"/>
      <c r="AHD70" s="226"/>
      <c r="AHE70" s="224"/>
      <c r="AHF70" s="225"/>
      <c r="AHG70" s="226"/>
      <c r="AHH70" s="227"/>
      <c r="AHI70" s="228"/>
      <c r="AHJ70" s="228"/>
      <c r="AHK70" s="228"/>
      <c r="AHL70" s="228"/>
      <c r="AHM70" s="228"/>
      <c r="AHN70" s="228"/>
      <c r="AHO70" s="226"/>
      <c r="AHP70" s="226"/>
      <c r="AHQ70" s="224"/>
      <c r="AHR70" s="225"/>
      <c r="AHS70" s="226"/>
      <c r="AHT70" s="227"/>
      <c r="AHU70" s="228"/>
      <c r="AHV70" s="228"/>
      <c r="AHW70" s="228"/>
      <c r="AHX70" s="228"/>
      <c r="AHY70" s="228"/>
      <c r="AHZ70" s="228"/>
      <c r="AIA70" s="226"/>
      <c r="AIB70" s="226"/>
      <c r="AIC70" s="224"/>
      <c r="AID70" s="225"/>
      <c r="AIE70" s="226"/>
      <c r="AIF70" s="227"/>
      <c r="AIG70" s="228"/>
      <c r="AIH70" s="228"/>
      <c r="AII70" s="228"/>
      <c r="AIJ70" s="228"/>
      <c r="AIK70" s="228"/>
      <c r="AIL70" s="228"/>
      <c r="AIM70" s="226"/>
      <c r="AIN70" s="226"/>
      <c r="AIO70" s="224"/>
      <c r="AIP70" s="225"/>
      <c r="AIQ70" s="226"/>
      <c r="AIR70" s="227"/>
      <c r="AIS70" s="228"/>
      <c r="AIT70" s="228"/>
      <c r="AIU70" s="228"/>
      <c r="AIV70" s="228"/>
      <c r="AIW70" s="228"/>
      <c r="AIX70" s="228"/>
      <c r="AIY70" s="226"/>
      <c r="AIZ70" s="226"/>
      <c r="AJA70" s="224"/>
      <c r="AJB70" s="225"/>
      <c r="AJC70" s="226"/>
      <c r="AJD70" s="227"/>
      <c r="AJE70" s="228"/>
      <c r="AJF70" s="228"/>
      <c r="AJG70" s="228"/>
      <c r="AJH70" s="228"/>
      <c r="AJI70" s="228"/>
      <c r="AJJ70" s="228"/>
      <c r="AJK70" s="226"/>
      <c r="AJL70" s="226"/>
      <c r="AJM70" s="224"/>
      <c r="AJN70" s="225"/>
      <c r="AJO70" s="226"/>
      <c r="AJP70" s="227"/>
      <c r="AJQ70" s="228"/>
      <c r="AJR70" s="228"/>
      <c r="AJS70" s="228"/>
      <c r="AJT70" s="228"/>
      <c r="AJU70" s="228"/>
      <c r="AJV70" s="228"/>
      <c r="AJW70" s="226"/>
      <c r="AJX70" s="226"/>
      <c r="AJY70" s="224"/>
      <c r="AJZ70" s="225"/>
      <c r="AKA70" s="226"/>
      <c r="AKB70" s="227"/>
      <c r="AKC70" s="228"/>
      <c r="AKD70" s="228"/>
      <c r="AKE70" s="228"/>
      <c r="AKF70" s="228"/>
      <c r="AKG70" s="228"/>
      <c r="AKH70" s="228"/>
      <c r="AKI70" s="226"/>
      <c r="AKJ70" s="226"/>
      <c r="AKK70" s="224"/>
      <c r="AKL70" s="225"/>
      <c r="AKM70" s="226"/>
      <c r="AKN70" s="227"/>
      <c r="AKO70" s="228"/>
      <c r="AKP70" s="228"/>
      <c r="AKQ70" s="228"/>
      <c r="AKR70" s="228"/>
      <c r="AKS70" s="228"/>
      <c r="AKT70" s="228"/>
      <c r="AKU70" s="226"/>
      <c r="AKV70" s="226"/>
      <c r="AKW70" s="224"/>
      <c r="AKX70" s="225"/>
      <c r="AKY70" s="226"/>
      <c r="AKZ70" s="227"/>
      <c r="ALA70" s="228"/>
      <c r="ALB70" s="228"/>
      <c r="ALC70" s="228"/>
      <c r="ALD70" s="228"/>
      <c r="ALE70" s="228"/>
      <c r="ALF70" s="228"/>
      <c r="ALG70" s="226"/>
      <c r="ALH70" s="226"/>
      <c r="ALI70" s="224"/>
      <c r="ALJ70" s="225"/>
      <c r="ALK70" s="226"/>
      <c r="ALL70" s="227"/>
      <c r="ALM70" s="228"/>
      <c r="ALN70" s="228"/>
      <c r="ALO70" s="228"/>
      <c r="ALP70" s="228"/>
      <c r="ALQ70" s="228"/>
      <c r="ALR70" s="228"/>
      <c r="ALS70" s="226"/>
      <c r="ALT70" s="226"/>
      <c r="ALU70" s="224"/>
      <c r="ALV70" s="225"/>
      <c r="ALW70" s="226"/>
      <c r="ALX70" s="227"/>
      <c r="ALY70" s="228"/>
      <c r="ALZ70" s="228"/>
      <c r="AMA70" s="228"/>
      <c r="AMB70" s="228"/>
      <c r="AMC70" s="228"/>
      <c r="AMD70" s="228"/>
      <c r="AME70" s="226"/>
      <c r="AMF70" s="226"/>
      <c r="AMG70" s="224"/>
      <c r="AMH70" s="225"/>
      <c r="AMI70" s="226"/>
      <c r="AMJ70" s="227"/>
      <c r="AMK70" s="228"/>
      <c r="AML70" s="228"/>
      <c r="AMM70" s="228"/>
      <c r="AMN70" s="228"/>
      <c r="AMO70" s="228"/>
      <c r="AMP70" s="228"/>
      <c r="AMQ70" s="226"/>
      <c r="AMR70" s="226"/>
      <c r="AMS70" s="224"/>
      <c r="AMT70" s="225"/>
      <c r="AMU70" s="226"/>
      <c r="AMV70" s="227"/>
      <c r="AMW70" s="228"/>
      <c r="AMX70" s="228"/>
      <c r="AMY70" s="228"/>
      <c r="AMZ70" s="228"/>
      <c r="ANA70" s="228"/>
      <c r="ANB70" s="228"/>
      <c r="ANC70" s="226"/>
      <c r="AND70" s="226"/>
      <c r="ANE70" s="224"/>
      <c r="ANF70" s="225"/>
      <c r="ANG70" s="226"/>
      <c r="ANH70" s="227"/>
      <c r="ANI70" s="228"/>
      <c r="ANJ70" s="228"/>
      <c r="ANK70" s="228"/>
      <c r="ANL70" s="228"/>
      <c r="ANM70" s="228"/>
      <c r="ANN70" s="228"/>
      <c r="ANO70" s="226"/>
      <c r="ANP70" s="226"/>
      <c r="ANQ70" s="224"/>
      <c r="ANR70" s="225"/>
      <c r="ANS70" s="226"/>
      <c r="ANT70" s="227"/>
      <c r="ANU70" s="228"/>
      <c r="ANV70" s="228"/>
      <c r="ANW70" s="228"/>
      <c r="ANX70" s="228"/>
      <c r="ANY70" s="228"/>
      <c r="ANZ70" s="228"/>
      <c r="AOA70" s="226"/>
      <c r="AOB70" s="226"/>
      <c r="AOC70" s="224"/>
      <c r="AOD70" s="225"/>
      <c r="AOE70" s="226"/>
      <c r="AOF70" s="227"/>
      <c r="AOG70" s="228"/>
      <c r="AOH70" s="228"/>
      <c r="AOI70" s="228"/>
      <c r="AOJ70" s="228"/>
      <c r="AOK70" s="228"/>
      <c r="AOL70" s="228"/>
      <c r="AOM70" s="226"/>
      <c r="AON70" s="226"/>
      <c r="AOO70" s="224"/>
      <c r="AOP70" s="225"/>
      <c r="AOQ70" s="226"/>
      <c r="AOR70" s="227"/>
      <c r="AOS70" s="228"/>
      <c r="AOT70" s="228"/>
      <c r="AOU70" s="228"/>
      <c r="AOV70" s="228"/>
      <c r="AOW70" s="228"/>
      <c r="AOX70" s="228"/>
      <c r="AOY70" s="226"/>
      <c r="AOZ70" s="226"/>
      <c r="APA70" s="224"/>
      <c r="APB70" s="225"/>
      <c r="APC70" s="226"/>
      <c r="APD70" s="227"/>
      <c r="APE70" s="228"/>
      <c r="APF70" s="228"/>
      <c r="APG70" s="228"/>
      <c r="APH70" s="228"/>
      <c r="API70" s="228"/>
      <c r="APJ70" s="228"/>
      <c r="APK70" s="226"/>
      <c r="APL70" s="226"/>
      <c r="APM70" s="224"/>
      <c r="APN70" s="225"/>
      <c r="APO70" s="226"/>
      <c r="APP70" s="227"/>
      <c r="APQ70" s="228"/>
      <c r="APR70" s="228"/>
      <c r="APS70" s="228"/>
      <c r="APT70" s="228"/>
      <c r="APU70" s="228"/>
      <c r="APV70" s="228"/>
      <c r="APW70" s="226"/>
      <c r="APX70" s="226"/>
      <c r="APY70" s="224"/>
      <c r="APZ70" s="225"/>
      <c r="AQA70" s="226"/>
      <c r="AQB70" s="227"/>
      <c r="AQC70" s="228"/>
      <c r="AQD70" s="228"/>
      <c r="AQE70" s="228"/>
      <c r="AQF70" s="228"/>
      <c r="AQG70" s="228"/>
      <c r="AQH70" s="228"/>
      <c r="AQI70" s="226"/>
      <c r="AQJ70" s="226"/>
      <c r="AQK70" s="224"/>
      <c r="AQL70" s="225"/>
      <c r="AQM70" s="226"/>
      <c r="AQN70" s="227"/>
      <c r="AQO70" s="228"/>
      <c r="AQP70" s="228"/>
      <c r="AQQ70" s="228"/>
      <c r="AQR70" s="228"/>
      <c r="AQS70" s="228"/>
      <c r="AQT70" s="228"/>
      <c r="AQU70" s="226"/>
      <c r="AQV70" s="226"/>
      <c r="AQW70" s="224"/>
      <c r="AQX70" s="225"/>
      <c r="AQY70" s="226"/>
      <c r="AQZ70" s="227"/>
      <c r="ARA70" s="228"/>
      <c r="ARB70" s="228"/>
      <c r="ARC70" s="228"/>
      <c r="ARD70" s="228"/>
      <c r="ARE70" s="228"/>
      <c r="ARF70" s="228"/>
      <c r="ARG70" s="226"/>
      <c r="ARH70" s="226"/>
      <c r="ARI70" s="224"/>
      <c r="ARJ70" s="225"/>
      <c r="ARK70" s="226"/>
      <c r="ARL70" s="227"/>
      <c r="ARM70" s="228"/>
      <c r="ARN70" s="228"/>
      <c r="ARO70" s="228"/>
      <c r="ARP70" s="228"/>
      <c r="ARQ70" s="228"/>
      <c r="ARR70" s="228"/>
      <c r="ARS70" s="226"/>
      <c r="ART70" s="226"/>
      <c r="ARU70" s="224"/>
      <c r="ARV70" s="225"/>
      <c r="ARW70" s="226"/>
      <c r="ARX70" s="227"/>
      <c r="ARY70" s="228"/>
      <c r="ARZ70" s="228"/>
      <c r="ASA70" s="228"/>
      <c r="ASB70" s="228"/>
      <c r="ASC70" s="228"/>
      <c r="ASD70" s="228"/>
      <c r="ASE70" s="226"/>
      <c r="ASF70" s="226"/>
      <c r="ASG70" s="224"/>
      <c r="ASH70" s="225"/>
      <c r="ASI70" s="226"/>
      <c r="ASJ70" s="227"/>
      <c r="ASK70" s="228"/>
      <c r="ASL70" s="228"/>
      <c r="ASM70" s="228"/>
      <c r="ASN70" s="228"/>
      <c r="ASO70" s="228"/>
      <c r="ASP70" s="228"/>
      <c r="ASQ70" s="226"/>
      <c r="ASR70" s="226"/>
      <c r="ASS70" s="224"/>
      <c r="AST70" s="225"/>
      <c r="ASU70" s="226"/>
      <c r="ASV70" s="227"/>
      <c r="ASW70" s="228"/>
      <c r="ASX70" s="228"/>
      <c r="ASY70" s="228"/>
      <c r="ASZ70" s="228"/>
      <c r="ATA70" s="228"/>
      <c r="ATB70" s="228"/>
      <c r="ATC70" s="226"/>
      <c r="ATD70" s="226"/>
      <c r="ATE70" s="224"/>
      <c r="ATF70" s="225"/>
      <c r="ATG70" s="226"/>
      <c r="ATH70" s="227"/>
      <c r="ATI70" s="228"/>
      <c r="ATJ70" s="228"/>
      <c r="ATK70" s="228"/>
      <c r="ATL70" s="228"/>
      <c r="ATM70" s="228"/>
      <c r="ATN70" s="228"/>
      <c r="ATO70" s="226"/>
      <c r="ATP70" s="226"/>
      <c r="ATQ70" s="224"/>
      <c r="ATR70" s="225"/>
      <c r="ATS70" s="226"/>
      <c r="ATT70" s="227"/>
      <c r="ATU70" s="228"/>
      <c r="ATV70" s="228"/>
      <c r="ATW70" s="228"/>
      <c r="ATX70" s="228"/>
      <c r="ATY70" s="228"/>
      <c r="ATZ70" s="228"/>
      <c r="AUA70" s="226"/>
      <c r="AUB70" s="226"/>
      <c r="AUC70" s="224"/>
      <c r="AUD70" s="225"/>
      <c r="AUE70" s="226"/>
      <c r="AUF70" s="227"/>
      <c r="AUG70" s="228"/>
      <c r="AUH70" s="228"/>
      <c r="AUI70" s="228"/>
      <c r="AUJ70" s="228"/>
      <c r="AUK70" s="228"/>
      <c r="AUL70" s="228"/>
      <c r="AUM70" s="226"/>
      <c r="AUN70" s="226"/>
      <c r="AUO70" s="224"/>
      <c r="AUP70" s="225"/>
      <c r="AUQ70" s="226"/>
      <c r="AUR70" s="227"/>
      <c r="AUS70" s="228"/>
      <c r="AUT70" s="228"/>
      <c r="AUU70" s="228"/>
      <c r="AUV70" s="228"/>
      <c r="AUW70" s="228"/>
      <c r="AUX70" s="228"/>
      <c r="AUY70" s="226"/>
      <c r="AUZ70" s="226"/>
      <c r="AVA70" s="224"/>
      <c r="AVB70" s="225"/>
      <c r="AVC70" s="226"/>
      <c r="AVD70" s="227"/>
      <c r="AVE70" s="228"/>
      <c r="AVF70" s="228"/>
      <c r="AVG70" s="228"/>
      <c r="AVH70" s="228"/>
      <c r="AVI70" s="228"/>
      <c r="AVJ70" s="228"/>
      <c r="AVK70" s="226"/>
      <c r="AVL70" s="226"/>
      <c r="AVM70" s="224"/>
      <c r="AVN70" s="225"/>
      <c r="AVO70" s="226"/>
      <c r="AVP70" s="227"/>
      <c r="AVQ70" s="228"/>
      <c r="AVR70" s="228"/>
      <c r="AVS70" s="228"/>
      <c r="AVT70" s="228"/>
      <c r="AVU70" s="228"/>
      <c r="AVV70" s="228"/>
      <c r="AVW70" s="226"/>
      <c r="AVX70" s="226"/>
      <c r="AVY70" s="224"/>
      <c r="AVZ70" s="225"/>
      <c r="AWA70" s="226"/>
      <c r="AWB70" s="227"/>
      <c r="AWC70" s="228"/>
      <c r="AWD70" s="228"/>
      <c r="AWE70" s="228"/>
      <c r="AWF70" s="228"/>
      <c r="AWG70" s="228"/>
      <c r="AWH70" s="228"/>
      <c r="AWI70" s="226"/>
      <c r="AWJ70" s="226"/>
      <c r="AWK70" s="224"/>
      <c r="AWL70" s="225"/>
      <c r="AWM70" s="226"/>
      <c r="AWN70" s="227"/>
      <c r="AWO70" s="228"/>
      <c r="AWP70" s="228"/>
      <c r="AWQ70" s="228"/>
      <c r="AWR70" s="228"/>
      <c r="AWS70" s="228"/>
      <c r="AWT70" s="228"/>
      <c r="AWU70" s="226"/>
      <c r="AWV70" s="226"/>
      <c r="AWW70" s="224"/>
      <c r="AWX70" s="225"/>
      <c r="AWY70" s="226"/>
      <c r="AWZ70" s="227"/>
      <c r="AXA70" s="228"/>
      <c r="AXB70" s="228"/>
      <c r="AXC70" s="228"/>
      <c r="AXD70" s="228"/>
      <c r="AXE70" s="228"/>
      <c r="AXF70" s="228"/>
      <c r="AXG70" s="226"/>
      <c r="AXH70" s="226"/>
      <c r="AXI70" s="224"/>
      <c r="AXJ70" s="225"/>
      <c r="AXK70" s="226"/>
      <c r="AXL70" s="227"/>
      <c r="AXM70" s="228"/>
      <c r="AXN70" s="228"/>
      <c r="AXO70" s="228"/>
      <c r="AXP70" s="228"/>
      <c r="AXQ70" s="228"/>
      <c r="AXR70" s="228"/>
      <c r="AXS70" s="226"/>
      <c r="AXT70" s="226"/>
      <c r="AXU70" s="224"/>
      <c r="AXV70" s="225"/>
      <c r="AXW70" s="226"/>
      <c r="AXX70" s="227"/>
      <c r="AXY70" s="228"/>
      <c r="AXZ70" s="228"/>
      <c r="AYA70" s="228"/>
      <c r="AYB70" s="228"/>
      <c r="AYC70" s="228"/>
      <c r="AYD70" s="228"/>
      <c r="AYE70" s="226"/>
      <c r="AYF70" s="226"/>
      <c r="AYG70" s="224"/>
      <c r="AYH70" s="225"/>
      <c r="AYI70" s="226"/>
      <c r="AYJ70" s="227"/>
      <c r="AYK70" s="228"/>
      <c r="AYL70" s="228"/>
      <c r="AYM70" s="228"/>
      <c r="AYN70" s="228"/>
      <c r="AYO70" s="228"/>
      <c r="AYP70" s="228"/>
      <c r="AYQ70" s="226"/>
      <c r="AYR70" s="226"/>
      <c r="AYS70" s="224"/>
      <c r="AYT70" s="225"/>
      <c r="AYU70" s="226"/>
      <c r="AYV70" s="227"/>
      <c r="AYW70" s="228"/>
      <c r="AYX70" s="228"/>
      <c r="AYY70" s="228"/>
      <c r="AYZ70" s="228"/>
      <c r="AZA70" s="228"/>
      <c r="AZB70" s="228"/>
      <c r="AZC70" s="226"/>
      <c r="AZD70" s="226"/>
      <c r="AZE70" s="224"/>
      <c r="AZF70" s="225"/>
      <c r="AZG70" s="226"/>
      <c r="AZH70" s="227"/>
      <c r="AZI70" s="228"/>
      <c r="AZJ70" s="228"/>
      <c r="AZK70" s="228"/>
      <c r="AZL70" s="228"/>
      <c r="AZM70" s="228"/>
      <c r="AZN70" s="228"/>
      <c r="AZO70" s="226"/>
      <c r="AZP70" s="226"/>
      <c r="AZQ70" s="224"/>
      <c r="AZR70" s="225"/>
      <c r="AZS70" s="226"/>
      <c r="AZT70" s="227"/>
      <c r="AZU70" s="228"/>
      <c r="AZV70" s="228"/>
      <c r="AZW70" s="228"/>
      <c r="AZX70" s="228"/>
      <c r="AZY70" s="228"/>
      <c r="AZZ70" s="228"/>
      <c r="BAA70" s="226"/>
      <c r="BAB70" s="226"/>
      <c r="BAC70" s="224"/>
      <c r="BAD70" s="225"/>
      <c r="BAE70" s="226"/>
      <c r="BAF70" s="227"/>
      <c r="BAG70" s="228"/>
      <c r="BAH70" s="228"/>
      <c r="BAI70" s="228"/>
      <c r="BAJ70" s="228"/>
      <c r="BAK70" s="228"/>
      <c r="BAL70" s="228"/>
      <c r="BAM70" s="226"/>
      <c r="BAN70" s="226"/>
      <c r="BAO70" s="224"/>
      <c r="BAP70" s="225"/>
      <c r="BAQ70" s="226"/>
      <c r="BAR70" s="227"/>
      <c r="BAS70" s="228"/>
      <c r="BAT70" s="228"/>
      <c r="BAU70" s="228"/>
      <c r="BAV70" s="228"/>
      <c r="BAW70" s="228"/>
      <c r="BAX70" s="228"/>
      <c r="BAY70" s="226"/>
      <c r="BAZ70" s="226"/>
      <c r="BBA70" s="224"/>
      <c r="BBB70" s="225"/>
      <c r="BBC70" s="226"/>
      <c r="BBD70" s="227"/>
      <c r="BBE70" s="228"/>
      <c r="BBF70" s="228"/>
      <c r="BBG70" s="228"/>
      <c r="BBH70" s="228"/>
      <c r="BBI70" s="228"/>
      <c r="BBJ70" s="228"/>
      <c r="BBK70" s="226"/>
      <c r="BBL70" s="226"/>
      <c r="BBM70" s="224"/>
      <c r="BBN70" s="225"/>
      <c r="BBO70" s="226"/>
      <c r="BBP70" s="227"/>
      <c r="BBQ70" s="228"/>
      <c r="BBR70" s="228"/>
      <c r="BBS70" s="228"/>
      <c r="BBT70" s="228"/>
      <c r="BBU70" s="228"/>
      <c r="BBV70" s="228"/>
      <c r="BBW70" s="226"/>
      <c r="BBX70" s="226"/>
      <c r="BBY70" s="224"/>
      <c r="BBZ70" s="225"/>
      <c r="BCA70" s="226"/>
      <c r="BCB70" s="227"/>
      <c r="BCC70" s="228"/>
      <c r="BCD70" s="228"/>
      <c r="BCE70" s="228"/>
      <c r="BCF70" s="228"/>
      <c r="BCG70" s="228"/>
      <c r="BCH70" s="228"/>
      <c r="BCI70" s="226"/>
      <c r="BCJ70" s="226"/>
      <c r="BCK70" s="224"/>
      <c r="BCL70" s="225"/>
      <c r="BCM70" s="226"/>
      <c r="BCN70" s="227"/>
      <c r="BCO70" s="228"/>
      <c r="BCP70" s="228"/>
      <c r="BCQ70" s="228"/>
      <c r="BCR70" s="228"/>
      <c r="BCS70" s="228"/>
      <c r="BCT70" s="228"/>
      <c r="BCU70" s="226"/>
      <c r="BCV70" s="226"/>
      <c r="BCW70" s="224"/>
      <c r="BCX70" s="225"/>
      <c r="BCY70" s="226"/>
      <c r="BCZ70" s="227"/>
      <c r="BDA70" s="228"/>
      <c r="BDB70" s="228"/>
      <c r="BDC70" s="228"/>
      <c r="BDD70" s="228"/>
      <c r="BDE70" s="228"/>
      <c r="BDF70" s="228"/>
      <c r="BDG70" s="226"/>
      <c r="BDH70" s="226"/>
      <c r="BDI70" s="224"/>
      <c r="BDJ70" s="225"/>
      <c r="BDK70" s="226"/>
      <c r="BDL70" s="227"/>
      <c r="BDM70" s="228"/>
      <c r="BDN70" s="228"/>
      <c r="BDO70" s="228"/>
      <c r="BDP70" s="228"/>
      <c r="BDQ70" s="228"/>
      <c r="BDR70" s="228"/>
      <c r="BDS70" s="226"/>
      <c r="BDT70" s="226"/>
      <c r="BDU70" s="224"/>
      <c r="BDV70" s="225"/>
      <c r="BDW70" s="226"/>
      <c r="BDX70" s="227"/>
      <c r="BDY70" s="228"/>
      <c r="BDZ70" s="228"/>
      <c r="BEA70" s="228"/>
      <c r="BEB70" s="228"/>
      <c r="BEC70" s="228"/>
      <c r="BED70" s="228"/>
      <c r="BEE70" s="226"/>
      <c r="BEF70" s="226"/>
      <c r="BEG70" s="224"/>
      <c r="BEH70" s="225"/>
      <c r="BEI70" s="226"/>
      <c r="BEJ70" s="227"/>
      <c r="BEK70" s="228"/>
      <c r="BEL70" s="228"/>
      <c r="BEM70" s="228"/>
      <c r="BEN70" s="228"/>
      <c r="BEO70" s="228"/>
      <c r="BEP70" s="228"/>
      <c r="BEQ70" s="226"/>
      <c r="BER70" s="226"/>
      <c r="BES70" s="224"/>
      <c r="BET70" s="225"/>
      <c r="BEU70" s="226"/>
      <c r="BEV70" s="227"/>
      <c r="BEW70" s="228"/>
      <c r="BEX70" s="228"/>
      <c r="BEY70" s="228"/>
      <c r="BEZ70" s="228"/>
      <c r="BFA70" s="228"/>
      <c r="BFB70" s="228"/>
      <c r="BFC70" s="226"/>
      <c r="BFD70" s="226"/>
      <c r="BFE70" s="224"/>
      <c r="BFF70" s="225"/>
      <c r="BFG70" s="226"/>
      <c r="BFH70" s="227"/>
      <c r="BFI70" s="228"/>
      <c r="BFJ70" s="228"/>
      <c r="BFK70" s="228"/>
      <c r="BFL70" s="228"/>
      <c r="BFM70" s="228"/>
      <c r="BFN70" s="228"/>
      <c r="BFO70" s="226"/>
      <c r="BFP70" s="226"/>
      <c r="BFQ70" s="224"/>
      <c r="BFR70" s="225"/>
      <c r="BFS70" s="226"/>
      <c r="BFT70" s="227"/>
      <c r="BFU70" s="228"/>
      <c r="BFV70" s="228"/>
      <c r="BFW70" s="228"/>
      <c r="BFX70" s="228"/>
      <c r="BFY70" s="228"/>
      <c r="BFZ70" s="228"/>
      <c r="BGA70" s="226"/>
      <c r="BGB70" s="226"/>
      <c r="BGC70" s="224"/>
      <c r="BGD70" s="225"/>
      <c r="BGE70" s="226"/>
      <c r="BGF70" s="227"/>
      <c r="BGG70" s="228"/>
      <c r="BGH70" s="228"/>
      <c r="BGI70" s="228"/>
      <c r="BGJ70" s="228"/>
      <c r="BGK70" s="228"/>
      <c r="BGL70" s="228"/>
      <c r="BGM70" s="226"/>
      <c r="BGN70" s="226"/>
      <c r="BGO70" s="224"/>
      <c r="BGP70" s="225"/>
      <c r="BGQ70" s="226"/>
      <c r="BGR70" s="227"/>
      <c r="BGS70" s="228"/>
      <c r="BGT70" s="228"/>
      <c r="BGU70" s="228"/>
      <c r="BGV70" s="228"/>
      <c r="BGW70" s="228"/>
      <c r="BGX70" s="228"/>
      <c r="BGY70" s="226"/>
      <c r="BGZ70" s="226"/>
      <c r="BHA70" s="224"/>
      <c r="BHB70" s="225"/>
      <c r="BHC70" s="226"/>
      <c r="BHD70" s="227"/>
      <c r="BHE70" s="228"/>
      <c r="BHF70" s="228"/>
      <c r="BHG70" s="228"/>
      <c r="BHH70" s="228"/>
      <c r="BHI70" s="228"/>
      <c r="BHJ70" s="228"/>
      <c r="BHK70" s="226"/>
      <c r="BHL70" s="226"/>
      <c r="BHM70" s="224"/>
      <c r="BHN70" s="225"/>
      <c r="BHO70" s="226"/>
      <c r="BHP70" s="227"/>
      <c r="BHQ70" s="228"/>
      <c r="BHR70" s="228"/>
      <c r="BHS70" s="228"/>
      <c r="BHT70" s="228"/>
      <c r="BHU70" s="228"/>
      <c r="BHV70" s="228"/>
      <c r="BHW70" s="226"/>
      <c r="BHX70" s="226"/>
      <c r="BHY70" s="224"/>
      <c r="BHZ70" s="225"/>
      <c r="BIA70" s="226"/>
      <c r="BIB70" s="227"/>
      <c r="BIC70" s="228"/>
      <c r="BID70" s="228"/>
      <c r="BIE70" s="228"/>
      <c r="BIF70" s="228"/>
      <c r="BIG70" s="228"/>
      <c r="BIH70" s="228"/>
      <c r="BII70" s="226"/>
      <c r="BIJ70" s="226"/>
      <c r="BIK70" s="224"/>
      <c r="BIL70" s="225"/>
      <c r="BIM70" s="226"/>
      <c r="BIN70" s="227"/>
      <c r="BIO70" s="228"/>
      <c r="BIP70" s="228"/>
      <c r="BIQ70" s="228"/>
      <c r="BIR70" s="228"/>
      <c r="BIS70" s="228"/>
      <c r="BIT70" s="228"/>
      <c r="BIU70" s="226"/>
      <c r="BIV70" s="226"/>
      <c r="BIW70" s="224"/>
      <c r="BIX70" s="225"/>
      <c r="BIY70" s="226"/>
      <c r="BIZ70" s="227"/>
      <c r="BJA70" s="228"/>
      <c r="BJB70" s="228"/>
      <c r="BJC70" s="228"/>
      <c r="BJD70" s="228"/>
      <c r="BJE70" s="228"/>
      <c r="BJF70" s="228"/>
      <c r="BJG70" s="226"/>
      <c r="BJH70" s="226"/>
      <c r="BJI70" s="224"/>
      <c r="BJJ70" s="225"/>
      <c r="BJK70" s="226"/>
      <c r="BJL70" s="227"/>
      <c r="BJM70" s="228"/>
      <c r="BJN70" s="228"/>
      <c r="BJO70" s="228"/>
      <c r="BJP70" s="228"/>
      <c r="BJQ70" s="228"/>
      <c r="BJR70" s="228"/>
      <c r="BJS70" s="226"/>
      <c r="BJT70" s="226"/>
      <c r="BJU70" s="224"/>
      <c r="BJV70" s="225"/>
      <c r="BJW70" s="226"/>
      <c r="BJX70" s="227"/>
      <c r="BJY70" s="228"/>
      <c r="BJZ70" s="228"/>
      <c r="BKA70" s="228"/>
      <c r="BKB70" s="228"/>
      <c r="BKC70" s="228"/>
      <c r="BKD70" s="228"/>
      <c r="BKE70" s="226"/>
      <c r="BKF70" s="226"/>
      <c r="BKG70" s="224"/>
      <c r="BKH70" s="225"/>
      <c r="BKI70" s="226"/>
      <c r="BKJ70" s="227"/>
      <c r="BKK70" s="228"/>
      <c r="BKL70" s="228"/>
      <c r="BKM70" s="228"/>
      <c r="BKN70" s="228"/>
      <c r="BKO70" s="228"/>
      <c r="BKP70" s="228"/>
      <c r="BKQ70" s="226"/>
      <c r="BKR70" s="226"/>
      <c r="BKS70" s="224"/>
      <c r="BKT70" s="225"/>
      <c r="BKU70" s="226"/>
      <c r="BKV70" s="227"/>
      <c r="BKW70" s="228"/>
      <c r="BKX70" s="228"/>
      <c r="BKY70" s="228"/>
      <c r="BKZ70" s="228"/>
      <c r="BLA70" s="228"/>
      <c r="BLB70" s="228"/>
      <c r="BLC70" s="226"/>
      <c r="BLD70" s="226"/>
      <c r="BLE70" s="224"/>
      <c r="BLF70" s="225"/>
      <c r="BLG70" s="226"/>
      <c r="BLH70" s="227"/>
      <c r="BLI70" s="228"/>
      <c r="BLJ70" s="228"/>
      <c r="BLK70" s="228"/>
      <c r="BLL70" s="228"/>
      <c r="BLM70" s="228"/>
      <c r="BLN70" s="228"/>
      <c r="BLO70" s="226"/>
      <c r="BLP70" s="226"/>
      <c r="BLQ70" s="224"/>
      <c r="BLR70" s="225"/>
      <c r="BLS70" s="226"/>
      <c r="BLT70" s="227"/>
      <c r="BLU70" s="228"/>
      <c r="BLV70" s="228"/>
      <c r="BLW70" s="228"/>
      <c r="BLX70" s="228"/>
      <c r="BLY70" s="228"/>
      <c r="BLZ70" s="228"/>
      <c r="BMA70" s="226"/>
      <c r="BMB70" s="226"/>
      <c r="BMC70" s="224"/>
      <c r="BMD70" s="225"/>
      <c r="BME70" s="226"/>
      <c r="BMF70" s="227"/>
      <c r="BMG70" s="228"/>
      <c r="BMH70" s="228"/>
      <c r="BMI70" s="228"/>
      <c r="BMJ70" s="228"/>
      <c r="BMK70" s="228"/>
      <c r="BML70" s="228"/>
      <c r="BMM70" s="226"/>
      <c r="BMN70" s="226"/>
      <c r="BMO70" s="224"/>
      <c r="BMP70" s="225"/>
      <c r="BMQ70" s="226"/>
      <c r="BMR70" s="227"/>
      <c r="BMS70" s="228"/>
      <c r="BMT70" s="228"/>
      <c r="BMU70" s="228"/>
      <c r="BMV70" s="228"/>
      <c r="BMW70" s="228"/>
      <c r="BMX70" s="228"/>
      <c r="BMY70" s="226"/>
      <c r="BMZ70" s="226"/>
      <c r="BNA70" s="224"/>
      <c r="BNB70" s="225"/>
      <c r="BNC70" s="226"/>
      <c r="BND70" s="227"/>
      <c r="BNE70" s="228"/>
      <c r="BNF70" s="228"/>
      <c r="BNG70" s="228"/>
      <c r="BNH70" s="228"/>
      <c r="BNI70" s="228"/>
      <c r="BNJ70" s="228"/>
      <c r="BNK70" s="226"/>
      <c r="BNL70" s="226"/>
      <c r="BNM70" s="224"/>
      <c r="BNN70" s="225"/>
      <c r="BNO70" s="226"/>
      <c r="BNP70" s="227"/>
      <c r="BNQ70" s="228"/>
      <c r="BNR70" s="228"/>
      <c r="BNS70" s="228"/>
      <c r="BNT70" s="228"/>
      <c r="BNU70" s="228"/>
      <c r="BNV70" s="228"/>
      <c r="BNW70" s="226"/>
      <c r="BNX70" s="226"/>
      <c r="BNY70" s="224"/>
      <c r="BNZ70" s="225"/>
      <c r="BOA70" s="226"/>
      <c r="BOB70" s="227"/>
      <c r="BOC70" s="228"/>
      <c r="BOD70" s="228"/>
      <c r="BOE70" s="228"/>
      <c r="BOF70" s="228"/>
      <c r="BOG70" s="228"/>
      <c r="BOH70" s="228"/>
      <c r="BOI70" s="226"/>
      <c r="BOJ70" s="226"/>
      <c r="BOK70" s="224"/>
      <c r="BOL70" s="225"/>
      <c r="BOM70" s="226"/>
      <c r="BON70" s="227"/>
      <c r="BOO70" s="228"/>
      <c r="BOP70" s="228"/>
      <c r="BOQ70" s="228"/>
      <c r="BOR70" s="228"/>
      <c r="BOS70" s="228"/>
      <c r="BOT70" s="228"/>
      <c r="BOU70" s="226"/>
      <c r="BOV70" s="226"/>
      <c r="BOW70" s="224"/>
      <c r="BOX70" s="225"/>
      <c r="BOY70" s="226"/>
      <c r="BOZ70" s="227"/>
      <c r="BPA70" s="228"/>
      <c r="BPB70" s="228"/>
      <c r="BPC70" s="228"/>
      <c r="BPD70" s="228"/>
      <c r="BPE70" s="228"/>
      <c r="BPF70" s="228"/>
      <c r="BPG70" s="226"/>
      <c r="BPH70" s="226"/>
      <c r="BPI70" s="224"/>
      <c r="BPJ70" s="225"/>
      <c r="BPK70" s="226"/>
      <c r="BPL70" s="227"/>
      <c r="BPM70" s="228"/>
      <c r="BPN70" s="228"/>
      <c r="BPO70" s="228"/>
      <c r="BPP70" s="228"/>
      <c r="BPQ70" s="228"/>
      <c r="BPR70" s="228"/>
      <c r="BPS70" s="226"/>
      <c r="BPT70" s="226"/>
      <c r="BPU70" s="224"/>
      <c r="BPV70" s="225"/>
      <c r="BPW70" s="226"/>
      <c r="BPX70" s="227"/>
      <c r="BPY70" s="228"/>
      <c r="BPZ70" s="228"/>
      <c r="BQA70" s="228"/>
      <c r="BQB70" s="228"/>
      <c r="BQC70" s="228"/>
      <c r="BQD70" s="228"/>
      <c r="BQE70" s="226"/>
      <c r="BQF70" s="226"/>
      <c r="BQG70" s="224"/>
      <c r="BQH70" s="225"/>
      <c r="BQI70" s="226"/>
      <c r="BQJ70" s="227"/>
      <c r="BQK70" s="228"/>
      <c r="BQL70" s="228"/>
      <c r="BQM70" s="228"/>
      <c r="BQN70" s="228"/>
      <c r="BQO70" s="228"/>
      <c r="BQP70" s="228"/>
      <c r="BQQ70" s="226"/>
      <c r="BQR70" s="226"/>
      <c r="BQS70" s="224"/>
      <c r="BQT70" s="225"/>
      <c r="BQU70" s="226"/>
      <c r="BQV70" s="227"/>
      <c r="BQW70" s="228"/>
      <c r="BQX70" s="228"/>
      <c r="BQY70" s="228"/>
      <c r="BQZ70" s="228"/>
      <c r="BRA70" s="228"/>
      <c r="BRB70" s="228"/>
      <c r="BRC70" s="226"/>
      <c r="BRD70" s="226"/>
      <c r="BRE70" s="224"/>
      <c r="BRF70" s="225"/>
      <c r="BRG70" s="226"/>
      <c r="BRH70" s="227"/>
      <c r="BRI70" s="228"/>
      <c r="BRJ70" s="228"/>
      <c r="BRK70" s="228"/>
      <c r="BRL70" s="228"/>
      <c r="BRM70" s="228"/>
      <c r="BRN70" s="228"/>
      <c r="BRO70" s="226"/>
      <c r="BRP70" s="226"/>
      <c r="BRQ70" s="224"/>
      <c r="BRR70" s="225"/>
      <c r="BRS70" s="226"/>
      <c r="BRT70" s="227"/>
      <c r="BRU70" s="228"/>
      <c r="BRV70" s="228"/>
      <c r="BRW70" s="228"/>
      <c r="BRX70" s="228"/>
      <c r="BRY70" s="228"/>
      <c r="BRZ70" s="228"/>
      <c r="BSA70" s="226"/>
      <c r="BSB70" s="226"/>
      <c r="BSC70" s="224"/>
      <c r="BSD70" s="225"/>
      <c r="BSE70" s="226"/>
      <c r="BSF70" s="227"/>
      <c r="BSG70" s="228"/>
      <c r="BSH70" s="228"/>
      <c r="BSI70" s="228"/>
      <c r="BSJ70" s="228"/>
      <c r="BSK70" s="228"/>
      <c r="BSL70" s="228"/>
      <c r="BSM70" s="226"/>
      <c r="BSN70" s="226"/>
      <c r="BSO70" s="224"/>
      <c r="BSP70" s="225"/>
      <c r="BSQ70" s="226"/>
      <c r="BSR70" s="227"/>
      <c r="BSS70" s="228"/>
      <c r="BST70" s="228"/>
      <c r="BSU70" s="228"/>
      <c r="BSV70" s="228"/>
      <c r="BSW70" s="228"/>
      <c r="BSX70" s="228"/>
      <c r="BSY70" s="226"/>
      <c r="BSZ70" s="226"/>
      <c r="BTA70" s="224"/>
      <c r="BTB70" s="225"/>
      <c r="BTC70" s="226"/>
      <c r="BTD70" s="227"/>
      <c r="BTE70" s="228"/>
      <c r="BTF70" s="228"/>
      <c r="BTG70" s="228"/>
      <c r="BTH70" s="228"/>
      <c r="BTI70" s="228"/>
      <c r="BTJ70" s="228"/>
      <c r="BTK70" s="226"/>
      <c r="BTL70" s="226"/>
      <c r="BTM70" s="224"/>
      <c r="BTN70" s="225"/>
      <c r="BTO70" s="226"/>
      <c r="BTP70" s="227"/>
      <c r="BTQ70" s="228"/>
      <c r="BTR70" s="228"/>
      <c r="BTS70" s="228"/>
      <c r="BTT70" s="228"/>
      <c r="BTU70" s="228"/>
      <c r="BTV70" s="228"/>
      <c r="BTW70" s="226"/>
      <c r="BTX70" s="226"/>
      <c r="BTY70" s="224"/>
      <c r="BTZ70" s="225"/>
      <c r="BUA70" s="226"/>
      <c r="BUB70" s="227"/>
      <c r="BUC70" s="228"/>
      <c r="BUD70" s="228"/>
      <c r="BUE70" s="228"/>
      <c r="BUF70" s="228"/>
      <c r="BUG70" s="228"/>
      <c r="BUH70" s="228"/>
      <c r="BUI70" s="226"/>
      <c r="BUJ70" s="226"/>
      <c r="BUK70" s="224"/>
      <c r="BUL70" s="225"/>
      <c r="BUM70" s="226"/>
      <c r="BUN70" s="227"/>
      <c r="BUO70" s="228"/>
      <c r="BUP70" s="228"/>
      <c r="BUQ70" s="228"/>
      <c r="BUR70" s="228"/>
      <c r="BUS70" s="228"/>
      <c r="BUT70" s="228"/>
      <c r="BUU70" s="226"/>
      <c r="BUV70" s="226"/>
      <c r="BUW70" s="224"/>
      <c r="BUX70" s="225"/>
      <c r="BUY70" s="226"/>
      <c r="BUZ70" s="227"/>
      <c r="BVA70" s="228"/>
      <c r="BVB70" s="228"/>
      <c r="BVC70" s="228"/>
      <c r="BVD70" s="228"/>
      <c r="BVE70" s="228"/>
      <c r="BVF70" s="228"/>
      <c r="BVG70" s="226"/>
      <c r="BVH70" s="226"/>
      <c r="BVI70" s="224"/>
      <c r="BVJ70" s="225"/>
      <c r="BVK70" s="226"/>
      <c r="BVL70" s="227"/>
      <c r="BVM70" s="228"/>
      <c r="BVN70" s="228"/>
      <c r="BVO70" s="228"/>
      <c r="BVP70" s="228"/>
      <c r="BVQ70" s="228"/>
      <c r="BVR70" s="228"/>
      <c r="BVS70" s="226"/>
      <c r="BVT70" s="226"/>
      <c r="BVU70" s="224"/>
      <c r="BVV70" s="225"/>
      <c r="BVW70" s="226"/>
      <c r="BVX70" s="227"/>
      <c r="BVY70" s="228"/>
      <c r="BVZ70" s="228"/>
      <c r="BWA70" s="228"/>
      <c r="BWB70" s="228"/>
      <c r="BWC70" s="228"/>
      <c r="BWD70" s="228"/>
      <c r="BWE70" s="226"/>
      <c r="BWF70" s="226"/>
      <c r="BWG70" s="224"/>
      <c r="BWH70" s="225"/>
      <c r="BWI70" s="226"/>
      <c r="BWJ70" s="227"/>
      <c r="BWK70" s="228"/>
      <c r="BWL70" s="228"/>
      <c r="BWM70" s="228"/>
      <c r="BWN70" s="228"/>
      <c r="BWO70" s="228"/>
      <c r="BWP70" s="228"/>
      <c r="BWQ70" s="226"/>
      <c r="BWR70" s="226"/>
      <c r="BWS70" s="224"/>
      <c r="BWT70" s="225"/>
      <c r="BWU70" s="226"/>
      <c r="BWV70" s="227"/>
      <c r="BWW70" s="228"/>
      <c r="BWX70" s="228"/>
      <c r="BWY70" s="228"/>
      <c r="BWZ70" s="228"/>
      <c r="BXA70" s="228"/>
      <c r="BXB70" s="228"/>
      <c r="BXC70" s="226"/>
      <c r="BXD70" s="226"/>
      <c r="BXE70" s="224"/>
      <c r="BXF70" s="225"/>
      <c r="BXG70" s="226"/>
      <c r="BXH70" s="227"/>
      <c r="BXI70" s="228"/>
      <c r="BXJ70" s="228"/>
      <c r="BXK70" s="228"/>
      <c r="BXL70" s="228"/>
      <c r="BXM70" s="228"/>
      <c r="BXN70" s="228"/>
      <c r="BXO70" s="226"/>
      <c r="BXP70" s="226"/>
      <c r="BXQ70" s="224"/>
      <c r="BXR70" s="225"/>
      <c r="BXS70" s="226"/>
      <c r="BXT70" s="227"/>
      <c r="BXU70" s="228"/>
      <c r="BXV70" s="228"/>
      <c r="BXW70" s="228"/>
      <c r="BXX70" s="228"/>
      <c r="BXY70" s="228"/>
      <c r="BXZ70" s="228"/>
      <c r="BYA70" s="226"/>
      <c r="BYB70" s="226"/>
      <c r="BYC70" s="224"/>
      <c r="BYD70" s="225"/>
      <c r="BYE70" s="226"/>
      <c r="BYF70" s="227"/>
      <c r="BYG70" s="228"/>
      <c r="BYH70" s="228"/>
      <c r="BYI70" s="228"/>
      <c r="BYJ70" s="228"/>
      <c r="BYK70" s="228"/>
      <c r="BYL70" s="228"/>
      <c r="BYM70" s="226"/>
      <c r="BYN70" s="226"/>
      <c r="BYO70" s="224"/>
      <c r="BYP70" s="225"/>
      <c r="BYQ70" s="226"/>
      <c r="BYR70" s="227"/>
      <c r="BYS70" s="228"/>
      <c r="BYT70" s="228"/>
      <c r="BYU70" s="228"/>
      <c r="BYV70" s="228"/>
      <c r="BYW70" s="228"/>
      <c r="BYX70" s="228"/>
      <c r="BYY70" s="226"/>
      <c r="BYZ70" s="226"/>
      <c r="BZA70" s="224"/>
      <c r="BZB70" s="225"/>
      <c r="BZC70" s="226"/>
      <c r="BZD70" s="227"/>
      <c r="BZE70" s="228"/>
      <c r="BZF70" s="228"/>
      <c r="BZG70" s="228"/>
      <c r="BZH70" s="228"/>
      <c r="BZI70" s="228"/>
      <c r="BZJ70" s="228"/>
      <c r="BZK70" s="226"/>
      <c r="BZL70" s="226"/>
      <c r="BZM70" s="224"/>
      <c r="BZN70" s="225"/>
      <c r="BZO70" s="226"/>
      <c r="BZP70" s="227"/>
      <c r="BZQ70" s="228"/>
      <c r="BZR70" s="228"/>
      <c r="BZS70" s="228"/>
      <c r="BZT70" s="228"/>
      <c r="BZU70" s="228"/>
      <c r="BZV70" s="228"/>
      <c r="BZW70" s="226"/>
      <c r="BZX70" s="226"/>
      <c r="BZY70" s="224"/>
      <c r="BZZ70" s="225"/>
      <c r="CAA70" s="226"/>
      <c r="CAB70" s="227"/>
      <c r="CAC70" s="228"/>
      <c r="CAD70" s="228"/>
      <c r="CAE70" s="228"/>
      <c r="CAF70" s="228"/>
      <c r="CAG70" s="228"/>
      <c r="CAH70" s="228"/>
      <c r="CAI70" s="226"/>
      <c r="CAJ70" s="226"/>
      <c r="CAK70" s="224"/>
      <c r="CAL70" s="225"/>
      <c r="CAM70" s="226"/>
      <c r="CAN70" s="227"/>
      <c r="CAO70" s="228"/>
      <c r="CAP70" s="228"/>
      <c r="CAQ70" s="228"/>
      <c r="CAR70" s="228"/>
      <c r="CAS70" s="228"/>
      <c r="CAT70" s="228"/>
      <c r="CAU70" s="226"/>
      <c r="CAV70" s="226"/>
      <c r="CAW70" s="224"/>
      <c r="CAX70" s="225"/>
      <c r="CAY70" s="226"/>
      <c r="CAZ70" s="227"/>
      <c r="CBA70" s="228"/>
      <c r="CBB70" s="228"/>
      <c r="CBC70" s="228"/>
      <c r="CBD70" s="228"/>
      <c r="CBE70" s="228"/>
      <c r="CBF70" s="228"/>
      <c r="CBG70" s="226"/>
      <c r="CBH70" s="226"/>
      <c r="CBI70" s="224"/>
      <c r="CBJ70" s="225"/>
      <c r="CBK70" s="226"/>
      <c r="CBL70" s="227"/>
      <c r="CBM70" s="228"/>
      <c r="CBN70" s="228"/>
      <c r="CBO70" s="228"/>
      <c r="CBP70" s="228"/>
      <c r="CBQ70" s="228"/>
      <c r="CBR70" s="228"/>
      <c r="CBS70" s="226"/>
      <c r="CBT70" s="226"/>
      <c r="CBU70" s="224"/>
      <c r="CBV70" s="225"/>
      <c r="CBW70" s="226"/>
      <c r="CBX70" s="227"/>
      <c r="CBY70" s="228"/>
      <c r="CBZ70" s="228"/>
      <c r="CCA70" s="228"/>
      <c r="CCB70" s="228"/>
      <c r="CCC70" s="228"/>
      <c r="CCD70" s="228"/>
      <c r="CCE70" s="226"/>
      <c r="CCF70" s="226"/>
      <c r="CCG70" s="224"/>
      <c r="CCH70" s="225"/>
      <c r="CCI70" s="226"/>
      <c r="CCJ70" s="227"/>
      <c r="CCK70" s="228"/>
      <c r="CCL70" s="228"/>
      <c r="CCM70" s="228"/>
      <c r="CCN70" s="228"/>
      <c r="CCO70" s="228"/>
      <c r="CCP70" s="228"/>
      <c r="CCQ70" s="226"/>
      <c r="CCR70" s="226"/>
      <c r="CCS70" s="224"/>
      <c r="CCT70" s="225"/>
      <c r="CCU70" s="226"/>
      <c r="CCV70" s="227"/>
      <c r="CCW70" s="228"/>
      <c r="CCX70" s="228"/>
      <c r="CCY70" s="228"/>
      <c r="CCZ70" s="228"/>
      <c r="CDA70" s="228"/>
      <c r="CDB70" s="228"/>
      <c r="CDC70" s="226"/>
      <c r="CDD70" s="226"/>
      <c r="CDE70" s="224"/>
      <c r="CDF70" s="225"/>
      <c r="CDG70" s="226"/>
      <c r="CDH70" s="227"/>
      <c r="CDI70" s="228"/>
      <c r="CDJ70" s="228"/>
      <c r="CDK70" s="228"/>
      <c r="CDL70" s="228"/>
      <c r="CDM70" s="228"/>
      <c r="CDN70" s="228"/>
      <c r="CDO70" s="226"/>
      <c r="CDP70" s="226"/>
      <c r="CDQ70" s="224"/>
      <c r="CDR70" s="225"/>
      <c r="CDS70" s="226"/>
      <c r="CDT70" s="227"/>
      <c r="CDU70" s="228"/>
      <c r="CDV70" s="228"/>
      <c r="CDW70" s="228"/>
      <c r="CDX70" s="228"/>
      <c r="CDY70" s="228"/>
      <c r="CDZ70" s="228"/>
      <c r="CEA70" s="226"/>
      <c r="CEB70" s="226"/>
      <c r="CEC70" s="224"/>
      <c r="CED70" s="225"/>
      <c r="CEE70" s="226"/>
      <c r="CEF70" s="227"/>
      <c r="CEG70" s="228"/>
      <c r="CEH70" s="228"/>
      <c r="CEI70" s="228"/>
      <c r="CEJ70" s="228"/>
      <c r="CEK70" s="228"/>
      <c r="CEL70" s="228"/>
      <c r="CEM70" s="226"/>
      <c r="CEN70" s="226"/>
      <c r="CEO70" s="224"/>
      <c r="CEP70" s="225"/>
      <c r="CEQ70" s="226"/>
      <c r="CER70" s="227"/>
      <c r="CES70" s="228"/>
      <c r="CET70" s="228"/>
      <c r="CEU70" s="228"/>
      <c r="CEV70" s="228"/>
      <c r="CEW70" s="228"/>
      <c r="CEX70" s="228"/>
      <c r="CEY70" s="226"/>
      <c r="CEZ70" s="226"/>
      <c r="CFA70" s="224"/>
      <c r="CFB70" s="225"/>
      <c r="CFC70" s="226"/>
      <c r="CFD70" s="227"/>
      <c r="CFE70" s="228"/>
      <c r="CFF70" s="228"/>
      <c r="CFG70" s="228"/>
      <c r="CFH70" s="228"/>
      <c r="CFI70" s="228"/>
      <c r="CFJ70" s="228"/>
      <c r="CFK70" s="226"/>
      <c r="CFL70" s="226"/>
      <c r="CFM70" s="224"/>
      <c r="CFN70" s="225"/>
      <c r="CFO70" s="226"/>
      <c r="CFP70" s="227"/>
      <c r="CFQ70" s="228"/>
      <c r="CFR70" s="228"/>
      <c r="CFS70" s="228"/>
      <c r="CFT70" s="228"/>
      <c r="CFU70" s="228"/>
      <c r="CFV70" s="228"/>
      <c r="CFW70" s="226"/>
      <c r="CFX70" s="226"/>
      <c r="CFY70" s="224"/>
      <c r="CFZ70" s="225"/>
      <c r="CGA70" s="226"/>
      <c r="CGB70" s="227"/>
      <c r="CGC70" s="228"/>
      <c r="CGD70" s="228"/>
      <c r="CGE70" s="228"/>
      <c r="CGF70" s="228"/>
      <c r="CGG70" s="228"/>
      <c r="CGH70" s="228"/>
      <c r="CGI70" s="226"/>
      <c r="CGJ70" s="226"/>
      <c r="CGK70" s="224"/>
      <c r="CGL70" s="225"/>
      <c r="CGM70" s="226"/>
      <c r="CGN70" s="227"/>
      <c r="CGO70" s="228"/>
      <c r="CGP70" s="228"/>
      <c r="CGQ70" s="228"/>
      <c r="CGR70" s="228"/>
      <c r="CGS70" s="228"/>
      <c r="CGT70" s="228"/>
      <c r="CGU70" s="226"/>
      <c r="CGV70" s="226"/>
      <c r="CGW70" s="224"/>
      <c r="CGX70" s="225"/>
      <c r="CGY70" s="226"/>
      <c r="CGZ70" s="227"/>
      <c r="CHA70" s="228"/>
      <c r="CHB70" s="228"/>
      <c r="CHC70" s="228"/>
      <c r="CHD70" s="228"/>
      <c r="CHE70" s="228"/>
      <c r="CHF70" s="228"/>
      <c r="CHG70" s="226"/>
      <c r="CHH70" s="226"/>
      <c r="CHI70" s="224"/>
      <c r="CHJ70" s="225"/>
      <c r="CHK70" s="226"/>
      <c r="CHL70" s="227"/>
      <c r="CHM70" s="228"/>
      <c r="CHN70" s="228"/>
      <c r="CHO70" s="228"/>
      <c r="CHP70" s="228"/>
      <c r="CHQ70" s="228"/>
      <c r="CHR70" s="228"/>
      <c r="CHS70" s="226"/>
      <c r="CHT70" s="226"/>
      <c r="CHU70" s="224"/>
      <c r="CHV70" s="225"/>
      <c r="CHW70" s="226"/>
      <c r="CHX70" s="227"/>
      <c r="CHY70" s="228"/>
      <c r="CHZ70" s="228"/>
      <c r="CIA70" s="228"/>
      <c r="CIB70" s="228"/>
      <c r="CIC70" s="228"/>
      <c r="CID70" s="228"/>
      <c r="CIE70" s="226"/>
      <c r="CIF70" s="226"/>
      <c r="CIG70" s="224"/>
      <c r="CIH70" s="225"/>
      <c r="CII70" s="226"/>
      <c r="CIJ70" s="227"/>
      <c r="CIK70" s="228"/>
      <c r="CIL70" s="228"/>
      <c r="CIM70" s="228"/>
      <c r="CIN70" s="228"/>
      <c r="CIO70" s="228"/>
      <c r="CIP70" s="228"/>
      <c r="CIQ70" s="226"/>
      <c r="CIR70" s="226"/>
      <c r="CIS70" s="224"/>
      <c r="CIT70" s="225"/>
      <c r="CIU70" s="226"/>
      <c r="CIV70" s="227"/>
      <c r="CIW70" s="228"/>
      <c r="CIX70" s="228"/>
      <c r="CIY70" s="228"/>
      <c r="CIZ70" s="228"/>
      <c r="CJA70" s="228"/>
      <c r="CJB70" s="228"/>
      <c r="CJC70" s="226"/>
      <c r="CJD70" s="226"/>
      <c r="CJE70" s="224"/>
      <c r="CJF70" s="225"/>
      <c r="CJG70" s="226"/>
      <c r="CJH70" s="227"/>
      <c r="CJI70" s="228"/>
      <c r="CJJ70" s="228"/>
      <c r="CJK70" s="228"/>
      <c r="CJL70" s="228"/>
      <c r="CJM70" s="228"/>
      <c r="CJN70" s="228"/>
      <c r="CJO70" s="226"/>
      <c r="CJP70" s="226"/>
      <c r="CJQ70" s="224"/>
      <c r="CJR70" s="225"/>
      <c r="CJS70" s="226"/>
      <c r="CJT70" s="227"/>
      <c r="CJU70" s="228"/>
      <c r="CJV70" s="228"/>
      <c r="CJW70" s="228"/>
      <c r="CJX70" s="228"/>
      <c r="CJY70" s="228"/>
      <c r="CJZ70" s="228"/>
      <c r="CKA70" s="226"/>
      <c r="CKB70" s="226"/>
      <c r="CKC70" s="224"/>
      <c r="CKD70" s="225"/>
      <c r="CKE70" s="226"/>
      <c r="CKF70" s="227"/>
      <c r="CKG70" s="228"/>
      <c r="CKH70" s="228"/>
      <c r="CKI70" s="228"/>
      <c r="CKJ70" s="228"/>
      <c r="CKK70" s="228"/>
      <c r="CKL70" s="228"/>
      <c r="CKM70" s="226"/>
      <c r="CKN70" s="226"/>
      <c r="CKO70" s="224"/>
      <c r="CKP70" s="225"/>
      <c r="CKQ70" s="226"/>
      <c r="CKR70" s="227"/>
      <c r="CKS70" s="228"/>
      <c r="CKT70" s="228"/>
      <c r="CKU70" s="228"/>
      <c r="CKV70" s="228"/>
      <c r="CKW70" s="228"/>
      <c r="CKX70" s="228"/>
      <c r="CKY70" s="226"/>
      <c r="CKZ70" s="226"/>
      <c r="CLA70" s="224"/>
      <c r="CLB70" s="225"/>
      <c r="CLC70" s="226"/>
      <c r="CLD70" s="227"/>
      <c r="CLE70" s="228"/>
      <c r="CLF70" s="228"/>
      <c r="CLG70" s="228"/>
      <c r="CLH70" s="228"/>
      <c r="CLI70" s="228"/>
      <c r="CLJ70" s="228"/>
      <c r="CLK70" s="226"/>
      <c r="CLL70" s="226"/>
      <c r="CLM70" s="224"/>
      <c r="CLN70" s="225"/>
      <c r="CLO70" s="226"/>
      <c r="CLP70" s="227"/>
      <c r="CLQ70" s="228"/>
      <c r="CLR70" s="228"/>
      <c r="CLS70" s="228"/>
      <c r="CLT70" s="228"/>
      <c r="CLU70" s="228"/>
      <c r="CLV70" s="228"/>
      <c r="CLW70" s="226"/>
      <c r="CLX70" s="226"/>
      <c r="CLY70" s="224"/>
      <c r="CLZ70" s="225"/>
      <c r="CMA70" s="226"/>
      <c r="CMB70" s="227"/>
      <c r="CMC70" s="228"/>
      <c r="CMD70" s="228"/>
      <c r="CME70" s="228"/>
      <c r="CMF70" s="228"/>
      <c r="CMG70" s="228"/>
      <c r="CMH70" s="228"/>
      <c r="CMI70" s="226"/>
      <c r="CMJ70" s="226"/>
      <c r="CMK70" s="224"/>
      <c r="CML70" s="225"/>
      <c r="CMM70" s="226"/>
      <c r="CMN70" s="227"/>
      <c r="CMO70" s="228"/>
      <c r="CMP70" s="228"/>
      <c r="CMQ70" s="228"/>
      <c r="CMR70" s="228"/>
      <c r="CMS70" s="228"/>
      <c r="CMT70" s="228"/>
      <c r="CMU70" s="226"/>
      <c r="CMV70" s="226"/>
      <c r="CMW70" s="224"/>
      <c r="CMX70" s="225"/>
      <c r="CMY70" s="226"/>
      <c r="CMZ70" s="227"/>
      <c r="CNA70" s="228"/>
      <c r="CNB70" s="228"/>
      <c r="CNC70" s="228"/>
      <c r="CND70" s="228"/>
      <c r="CNE70" s="228"/>
      <c r="CNF70" s="228"/>
      <c r="CNG70" s="226"/>
      <c r="CNH70" s="226"/>
      <c r="CNI70" s="224"/>
      <c r="CNJ70" s="225"/>
      <c r="CNK70" s="226"/>
      <c r="CNL70" s="227"/>
      <c r="CNM70" s="228"/>
      <c r="CNN70" s="228"/>
      <c r="CNO70" s="228"/>
      <c r="CNP70" s="228"/>
      <c r="CNQ70" s="228"/>
      <c r="CNR70" s="228"/>
      <c r="CNS70" s="226"/>
      <c r="CNT70" s="226"/>
      <c r="CNU70" s="224"/>
      <c r="CNV70" s="225"/>
      <c r="CNW70" s="226"/>
      <c r="CNX70" s="227"/>
      <c r="CNY70" s="228"/>
      <c r="CNZ70" s="228"/>
      <c r="COA70" s="228"/>
      <c r="COB70" s="228"/>
      <c r="COC70" s="228"/>
      <c r="COD70" s="228"/>
      <c r="COE70" s="226"/>
      <c r="COF70" s="226"/>
      <c r="COG70" s="224"/>
      <c r="COH70" s="225"/>
      <c r="COI70" s="226"/>
      <c r="COJ70" s="227"/>
      <c r="COK70" s="228"/>
      <c r="COL70" s="228"/>
      <c r="COM70" s="228"/>
      <c r="CON70" s="228"/>
      <c r="COO70" s="228"/>
      <c r="COP70" s="228"/>
      <c r="COQ70" s="226"/>
      <c r="COR70" s="226"/>
      <c r="COS70" s="224"/>
      <c r="COT70" s="225"/>
      <c r="COU70" s="226"/>
      <c r="COV70" s="227"/>
      <c r="COW70" s="228"/>
      <c r="COX70" s="228"/>
      <c r="COY70" s="228"/>
      <c r="COZ70" s="228"/>
      <c r="CPA70" s="228"/>
      <c r="CPB70" s="228"/>
      <c r="CPC70" s="226"/>
      <c r="CPD70" s="226"/>
      <c r="CPE70" s="224"/>
      <c r="CPF70" s="225"/>
      <c r="CPG70" s="226"/>
      <c r="CPH70" s="227"/>
      <c r="CPI70" s="228"/>
      <c r="CPJ70" s="228"/>
      <c r="CPK70" s="228"/>
      <c r="CPL70" s="228"/>
      <c r="CPM70" s="228"/>
      <c r="CPN70" s="228"/>
      <c r="CPO70" s="226"/>
      <c r="CPP70" s="226"/>
      <c r="CPQ70" s="224"/>
      <c r="CPR70" s="225"/>
      <c r="CPS70" s="226"/>
      <c r="CPT70" s="227"/>
      <c r="CPU70" s="228"/>
      <c r="CPV70" s="228"/>
      <c r="CPW70" s="228"/>
      <c r="CPX70" s="228"/>
      <c r="CPY70" s="228"/>
      <c r="CPZ70" s="228"/>
      <c r="CQA70" s="226"/>
      <c r="CQB70" s="226"/>
      <c r="CQC70" s="224"/>
      <c r="CQD70" s="225"/>
      <c r="CQE70" s="226"/>
      <c r="CQF70" s="227"/>
      <c r="CQG70" s="228"/>
      <c r="CQH70" s="228"/>
      <c r="CQI70" s="228"/>
      <c r="CQJ70" s="228"/>
      <c r="CQK70" s="228"/>
      <c r="CQL70" s="228"/>
      <c r="CQM70" s="226"/>
      <c r="CQN70" s="226"/>
      <c r="CQO70" s="224"/>
      <c r="CQP70" s="225"/>
      <c r="CQQ70" s="226"/>
      <c r="CQR70" s="227"/>
      <c r="CQS70" s="228"/>
      <c r="CQT70" s="228"/>
      <c r="CQU70" s="228"/>
      <c r="CQV70" s="228"/>
      <c r="CQW70" s="228"/>
      <c r="CQX70" s="228"/>
      <c r="CQY70" s="226"/>
      <c r="CQZ70" s="226"/>
      <c r="CRA70" s="224"/>
      <c r="CRB70" s="225"/>
      <c r="CRC70" s="226"/>
      <c r="CRD70" s="227"/>
      <c r="CRE70" s="228"/>
      <c r="CRF70" s="228"/>
      <c r="CRG70" s="228"/>
      <c r="CRH70" s="228"/>
      <c r="CRI70" s="228"/>
      <c r="CRJ70" s="228"/>
      <c r="CRK70" s="226"/>
      <c r="CRL70" s="226"/>
      <c r="CRM70" s="224"/>
      <c r="CRN70" s="225"/>
      <c r="CRO70" s="226"/>
      <c r="CRP70" s="227"/>
      <c r="CRQ70" s="228"/>
      <c r="CRR70" s="228"/>
      <c r="CRS70" s="228"/>
      <c r="CRT70" s="228"/>
      <c r="CRU70" s="228"/>
      <c r="CRV70" s="228"/>
      <c r="CRW70" s="226"/>
      <c r="CRX70" s="226"/>
      <c r="CRY70" s="224"/>
      <c r="CRZ70" s="225"/>
      <c r="CSA70" s="226"/>
      <c r="CSB70" s="227"/>
      <c r="CSC70" s="228"/>
      <c r="CSD70" s="228"/>
      <c r="CSE70" s="228"/>
      <c r="CSF70" s="228"/>
      <c r="CSG70" s="228"/>
      <c r="CSH70" s="228"/>
      <c r="CSI70" s="226"/>
      <c r="CSJ70" s="226"/>
      <c r="CSK70" s="224"/>
      <c r="CSL70" s="225"/>
      <c r="CSM70" s="226"/>
      <c r="CSN70" s="227"/>
      <c r="CSO70" s="228"/>
      <c r="CSP70" s="228"/>
      <c r="CSQ70" s="228"/>
      <c r="CSR70" s="228"/>
      <c r="CSS70" s="228"/>
      <c r="CST70" s="228"/>
      <c r="CSU70" s="226"/>
      <c r="CSV70" s="226"/>
      <c r="CSW70" s="224"/>
      <c r="CSX70" s="225"/>
      <c r="CSY70" s="226"/>
      <c r="CSZ70" s="227"/>
      <c r="CTA70" s="228"/>
      <c r="CTB70" s="228"/>
      <c r="CTC70" s="228"/>
      <c r="CTD70" s="228"/>
      <c r="CTE70" s="228"/>
      <c r="CTF70" s="228"/>
      <c r="CTG70" s="226"/>
      <c r="CTH70" s="226"/>
      <c r="CTI70" s="224"/>
      <c r="CTJ70" s="225"/>
      <c r="CTK70" s="226"/>
      <c r="CTL70" s="227"/>
      <c r="CTM70" s="228"/>
      <c r="CTN70" s="228"/>
      <c r="CTO70" s="228"/>
      <c r="CTP70" s="228"/>
      <c r="CTQ70" s="228"/>
      <c r="CTR70" s="228"/>
      <c r="CTS70" s="226"/>
      <c r="CTT70" s="226"/>
      <c r="CTU70" s="224"/>
      <c r="CTV70" s="225"/>
      <c r="CTW70" s="226"/>
      <c r="CTX70" s="227"/>
      <c r="CTY70" s="228"/>
      <c r="CTZ70" s="228"/>
      <c r="CUA70" s="228"/>
      <c r="CUB70" s="228"/>
      <c r="CUC70" s="228"/>
      <c r="CUD70" s="228"/>
      <c r="CUE70" s="226"/>
      <c r="CUF70" s="226"/>
      <c r="CUG70" s="224"/>
      <c r="CUH70" s="225"/>
      <c r="CUI70" s="226"/>
      <c r="CUJ70" s="227"/>
      <c r="CUK70" s="228"/>
      <c r="CUL70" s="228"/>
      <c r="CUM70" s="228"/>
      <c r="CUN70" s="228"/>
      <c r="CUO70" s="228"/>
      <c r="CUP70" s="228"/>
      <c r="CUQ70" s="226"/>
      <c r="CUR70" s="226"/>
      <c r="CUS70" s="224"/>
      <c r="CUT70" s="225"/>
      <c r="CUU70" s="226"/>
      <c r="CUV70" s="227"/>
      <c r="CUW70" s="228"/>
      <c r="CUX70" s="228"/>
      <c r="CUY70" s="228"/>
      <c r="CUZ70" s="228"/>
      <c r="CVA70" s="228"/>
      <c r="CVB70" s="228"/>
      <c r="CVC70" s="226"/>
      <c r="CVD70" s="226"/>
      <c r="CVE70" s="224"/>
      <c r="CVF70" s="225"/>
      <c r="CVG70" s="226"/>
      <c r="CVH70" s="227"/>
      <c r="CVI70" s="228"/>
      <c r="CVJ70" s="228"/>
      <c r="CVK70" s="228"/>
      <c r="CVL70" s="228"/>
      <c r="CVM70" s="228"/>
      <c r="CVN70" s="228"/>
      <c r="CVO70" s="226"/>
      <c r="CVP70" s="226"/>
      <c r="CVQ70" s="224"/>
      <c r="CVR70" s="225"/>
      <c r="CVS70" s="226"/>
      <c r="CVT70" s="227"/>
      <c r="CVU70" s="228"/>
      <c r="CVV70" s="228"/>
      <c r="CVW70" s="228"/>
      <c r="CVX70" s="228"/>
      <c r="CVY70" s="228"/>
      <c r="CVZ70" s="228"/>
      <c r="CWA70" s="226"/>
      <c r="CWB70" s="226"/>
      <c r="CWC70" s="224"/>
      <c r="CWD70" s="225"/>
      <c r="CWE70" s="226"/>
      <c r="CWF70" s="227"/>
      <c r="CWG70" s="228"/>
      <c r="CWH70" s="228"/>
      <c r="CWI70" s="228"/>
      <c r="CWJ70" s="228"/>
      <c r="CWK70" s="228"/>
      <c r="CWL70" s="228"/>
      <c r="CWM70" s="226"/>
      <c r="CWN70" s="226"/>
      <c r="CWO70" s="224"/>
      <c r="CWP70" s="225"/>
      <c r="CWQ70" s="226"/>
      <c r="CWR70" s="227"/>
      <c r="CWS70" s="228"/>
      <c r="CWT70" s="228"/>
      <c r="CWU70" s="228"/>
      <c r="CWV70" s="228"/>
      <c r="CWW70" s="228"/>
      <c r="CWX70" s="228"/>
      <c r="CWY70" s="226"/>
      <c r="CWZ70" s="226"/>
      <c r="CXA70" s="224"/>
      <c r="CXB70" s="225"/>
      <c r="CXC70" s="226"/>
      <c r="CXD70" s="227"/>
      <c r="CXE70" s="228"/>
      <c r="CXF70" s="228"/>
      <c r="CXG70" s="228"/>
      <c r="CXH70" s="228"/>
      <c r="CXI70" s="228"/>
      <c r="CXJ70" s="228"/>
      <c r="CXK70" s="226"/>
      <c r="CXL70" s="226"/>
      <c r="CXM70" s="224"/>
      <c r="CXN70" s="225"/>
      <c r="CXO70" s="226"/>
      <c r="CXP70" s="227"/>
      <c r="CXQ70" s="228"/>
      <c r="CXR70" s="228"/>
      <c r="CXS70" s="228"/>
      <c r="CXT70" s="228"/>
      <c r="CXU70" s="228"/>
      <c r="CXV70" s="228"/>
      <c r="CXW70" s="226"/>
      <c r="CXX70" s="226"/>
      <c r="CXY70" s="224"/>
      <c r="CXZ70" s="225"/>
      <c r="CYA70" s="226"/>
      <c r="CYB70" s="227"/>
      <c r="CYC70" s="228"/>
      <c r="CYD70" s="228"/>
      <c r="CYE70" s="228"/>
      <c r="CYF70" s="228"/>
      <c r="CYG70" s="228"/>
      <c r="CYH70" s="228"/>
      <c r="CYI70" s="226"/>
      <c r="CYJ70" s="226"/>
      <c r="CYK70" s="224"/>
      <c r="CYL70" s="225"/>
      <c r="CYM70" s="226"/>
      <c r="CYN70" s="227"/>
      <c r="CYO70" s="228"/>
      <c r="CYP70" s="228"/>
      <c r="CYQ70" s="228"/>
      <c r="CYR70" s="228"/>
      <c r="CYS70" s="228"/>
      <c r="CYT70" s="228"/>
      <c r="CYU70" s="226"/>
      <c r="CYV70" s="226"/>
      <c r="CYW70" s="224"/>
      <c r="CYX70" s="225"/>
      <c r="CYY70" s="226"/>
      <c r="CYZ70" s="227"/>
      <c r="CZA70" s="228"/>
      <c r="CZB70" s="228"/>
      <c r="CZC70" s="228"/>
      <c r="CZD70" s="228"/>
      <c r="CZE70" s="228"/>
      <c r="CZF70" s="228"/>
      <c r="CZG70" s="226"/>
      <c r="CZH70" s="226"/>
      <c r="CZI70" s="224"/>
      <c r="CZJ70" s="225"/>
      <c r="CZK70" s="226"/>
      <c r="CZL70" s="227"/>
      <c r="CZM70" s="228"/>
      <c r="CZN70" s="228"/>
      <c r="CZO70" s="228"/>
      <c r="CZP70" s="228"/>
      <c r="CZQ70" s="228"/>
      <c r="CZR70" s="228"/>
      <c r="CZS70" s="226"/>
      <c r="CZT70" s="226"/>
      <c r="CZU70" s="224"/>
      <c r="CZV70" s="225"/>
      <c r="CZW70" s="226"/>
      <c r="CZX70" s="227"/>
      <c r="CZY70" s="228"/>
      <c r="CZZ70" s="228"/>
      <c r="DAA70" s="228"/>
      <c r="DAB70" s="228"/>
      <c r="DAC70" s="228"/>
      <c r="DAD70" s="228"/>
      <c r="DAE70" s="226"/>
      <c r="DAF70" s="226"/>
      <c r="DAG70" s="224"/>
      <c r="DAH70" s="225"/>
      <c r="DAI70" s="226"/>
      <c r="DAJ70" s="227"/>
      <c r="DAK70" s="228"/>
      <c r="DAL70" s="228"/>
      <c r="DAM70" s="228"/>
      <c r="DAN70" s="228"/>
      <c r="DAO70" s="228"/>
      <c r="DAP70" s="228"/>
      <c r="DAQ70" s="226"/>
      <c r="DAR70" s="226"/>
      <c r="DAS70" s="224"/>
      <c r="DAT70" s="225"/>
      <c r="DAU70" s="226"/>
      <c r="DAV70" s="227"/>
      <c r="DAW70" s="228"/>
      <c r="DAX70" s="228"/>
      <c r="DAY70" s="228"/>
      <c r="DAZ70" s="228"/>
      <c r="DBA70" s="228"/>
      <c r="DBB70" s="228"/>
      <c r="DBC70" s="226"/>
      <c r="DBD70" s="226"/>
      <c r="DBE70" s="224"/>
      <c r="DBF70" s="225"/>
      <c r="DBG70" s="226"/>
      <c r="DBH70" s="227"/>
      <c r="DBI70" s="228"/>
      <c r="DBJ70" s="228"/>
      <c r="DBK70" s="228"/>
      <c r="DBL70" s="228"/>
      <c r="DBM70" s="228"/>
      <c r="DBN70" s="228"/>
      <c r="DBO70" s="226"/>
      <c r="DBP70" s="226"/>
      <c r="DBQ70" s="224"/>
      <c r="DBR70" s="225"/>
      <c r="DBS70" s="226"/>
      <c r="DBT70" s="227"/>
      <c r="DBU70" s="228"/>
      <c r="DBV70" s="228"/>
      <c r="DBW70" s="228"/>
      <c r="DBX70" s="228"/>
      <c r="DBY70" s="228"/>
      <c r="DBZ70" s="228"/>
      <c r="DCA70" s="226"/>
      <c r="DCB70" s="226"/>
      <c r="DCC70" s="224"/>
      <c r="DCD70" s="225"/>
      <c r="DCE70" s="226"/>
      <c r="DCF70" s="227"/>
      <c r="DCG70" s="228"/>
      <c r="DCH70" s="228"/>
      <c r="DCI70" s="228"/>
      <c r="DCJ70" s="228"/>
      <c r="DCK70" s="228"/>
      <c r="DCL70" s="228"/>
      <c r="DCM70" s="226"/>
      <c r="DCN70" s="226"/>
      <c r="DCO70" s="224"/>
      <c r="DCP70" s="225"/>
      <c r="DCQ70" s="226"/>
      <c r="DCR70" s="227"/>
      <c r="DCS70" s="228"/>
      <c r="DCT70" s="228"/>
      <c r="DCU70" s="228"/>
      <c r="DCV70" s="228"/>
      <c r="DCW70" s="228"/>
      <c r="DCX70" s="228"/>
      <c r="DCY70" s="226"/>
      <c r="DCZ70" s="226"/>
      <c r="DDA70" s="224"/>
      <c r="DDB70" s="225"/>
      <c r="DDC70" s="226"/>
      <c r="DDD70" s="227"/>
      <c r="DDE70" s="228"/>
      <c r="DDF70" s="228"/>
      <c r="DDG70" s="228"/>
      <c r="DDH70" s="228"/>
      <c r="DDI70" s="228"/>
      <c r="DDJ70" s="228"/>
      <c r="DDK70" s="226"/>
      <c r="DDL70" s="226"/>
      <c r="DDM70" s="224"/>
      <c r="DDN70" s="225"/>
      <c r="DDO70" s="226"/>
      <c r="DDP70" s="227"/>
      <c r="DDQ70" s="228"/>
      <c r="DDR70" s="228"/>
      <c r="DDS70" s="228"/>
      <c r="DDT70" s="228"/>
      <c r="DDU70" s="228"/>
      <c r="DDV70" s="228"/>
      <c r="DDW70" s="226"/>
      <c r="DDX70" s="226"/>
      <c r="DDY70" s="224"/>
      <c r="DDZ70" s="225"/>
      <c r="DEA70" s="226"/>
      <c r="DEB70" s="227"/>
      <c r="DEC70" s="228"/>
      <c r="DED70" s="228"/>
      <c r="DEE70" s="228"/>
      <c r="DEF70" s="228"/>
      <c r="DEG70" s="228"/>
      <c r="DEH70" s="228"/>
      <c r="DEI70" s="226"/>
      <c r="DEJ70" s="226"/>
      <c r="DEK70" s="224"/>
      <c r="DEL70" s="225"/>
      <c r="DEM70" s="226"/>
      <c r="DEN70" s="227"/>
      <c r="DEO70" s="228"/>
      <c r="DEP70" s="228"/>
      <c r="DEQ70" s="228"/>
      <c r="DER70" s="228"/>
      <c r="DES70" s="228"/>
      <c r="DET70" s="228"/>
      <c r="DEU70" s="226"/>
      <c r="DEV70" s="226"/>
      <c r="DEW70" s="224"/>
      <c r="DEX70" s="225"/>
      <c r="DEY70" s="226"/>
      <c r="DEZ70" s="227"/>
      <c r="DFA70" s="228"/>
      <c r="DFB70" s="228"/>
      <c r="DFC70" s="228"/>
      <c r="DFD70" s="228"/>
      <c r="DFE70" s="228"/>
      <c r="DFF70" s="228"/>
      <c r="DFG70" s="226"/>
      <c r="DFH70" s="226"/>
      <c r="DFI70" s="224"/>
      <c r="DFJ70" s="225"/>
      <c r="DFK70" s="226"/>
      <c r="DFL70" s="227"/>
      <c r="DFM70" s="228"/>
      <c r="DFN70" s="228"/>
      <c r="DFO70" s="228"/>
      <c r="DFP70" s="228"/>
      <c r="DFQ70" s="228"/>
      <c r="DFR70" s="228"/>
      <c r="DFS70" s="226"/>
      <c r="DFT70" s="226"/>
      <c r="DFU70" s="224"/>
      <c r="DFV70" s="225"/>
      <c r="DFW70" s="226"/>
      <c r="DFX70" s="227"/>
      <c r="DFY70" s="228"/>
      <c r="DFZ70" s="228"/>
      <c r="DGA70" s="228"/>
      <c r="DGB70" s="228"/>
      <c r="DGC70" s="228"/>
      <c r="DGD70" s="228"/>
      <c r="DGE70" s="226"/>
      <c r="DGF70" s="226"/>
      <c r="DGG70" s="224"/>
      <c r="DGH70" s="225"/>
      <c r="DGI70" s="226"/>
      <c r="DGJ70" s="227"/>
      <c r="DGK70" s="228"/>
      <c r="DGL70" s="228"/>
      <c r="DGM70" s="228"/>
      <c r="DGN70" s="228"/>
      <c r="DGO70" s="228"/>
      <c r="DGP70" s="228"/>
      <c r="DGQ70" s="226"/>
      <c r="DGR70" s="226"/>
      <c r="DGS70" s="224"/>
      <c r="DGT70" s="225"/>
      <c r="DGU70" s="226"/>
      <c r="DGV70" s="227"/>
      <c r="DGW70" s="228"/>
      <c r="DGX70" s="228"/>
      <c r="DGY70" s="228"/>
      <c r="DGZ70" s="228"/>
      <c r="DHA70" s="228"/>
      <c r="DHB70" s="228"/>
      <c r="DHC70" s="226"/>
      <c r="DHD70" s="226"/>
      <c r="DHE70" s="224"/>
      <c r="DHF70" s="225"/>
      <c r="DHG70" s="226"/>
      <c r="DHH70" s="227"/>
      <c r="DHI70" s="228"/>
      <c r="DHJ70" s="228"/>
      <c r="DHK70" s="228"/>
      <c r="DHL70" s="228"/>
      <c r="DHM70" s="228"/>
      <c r="DHN70" s="228"/>
      <c r="DHO70" s="226"/>
      <c r="DHP70" s="226"/>
      <c r="DHQ70" s="224"/>
      <c r="DHR70" s="225"/>
      <c r="DHS70" s="226"/>
      <c r="DHT70" s="227"/>
      <c r="DHU70" s="228"/>
      <c r="DHV70" s="228"/>
      <c r="DHW70" s="228"/>
      <c r="DHX70" s="228"/>
      <c r="DHY70" s="228"/>
      <c r="DHZ70" s="228"/>
      <c r="DIA70" s="226"/>
      <c r="DIB70" s="226"/>
      <c r="DIC70" s="224"/>
      <c r="DID70" s="225"/>
      <c r="DIE70" s="226"/>
      <c r="DIF70" s="227"/>
      <c r="DIG70" s="228"/>
      <c r="DIH70" s="228"/>
      <c r="DII70" s="228"/>
      <c r="DIJ70" s="228"/>
      <c r="DIK70" s="228"/>
      <c r="DIL70" s="228"/>
      <c r="DIM70" s="226"/>
      <c r="DIN70" s="226"/>
      <c r="DIO70" s="224"/>
      <c r="DIP70" s="225"/>
      <c r="DIQ70" s="226"/>
      <c r="DIR70" s="227"/>
      <c r="DIS70" s="228"/>
      <c r="DIT70" s="228"/>
      <c r="DIU70" s="228"/>
      <c r="DIV70" s="228"/>
      <c r="DIW70" s="228"/>
      <c r="DIX70" s="228"/>
      <c r="DIY70" s="226"/>
      <c r="DIZ70" s="226"/>
      <c r="DJA70" s="224"/>
      <c r="DJB70" s="225"/>
      <c r="DJC70" s="226"/>
      <c r="DJD70" s="227"/>
      <c r="DJE70" s="228"/>
      <c r="DJF70" s="228"/>
      <c r="DJG70" s="228"/>
      <c r="DJH70" s="228"/>
      <c r="DJI70" s="228"/>
      <c r="DJJ70" s="228"/>
      <c r="DJK70" s="226"/>
      <c r="DJL70" s="226"/>
      <c r="DJM70" s="224"/>
      <c r="DJN70" s="225"/>
      <c r="DJO70" s="226"/>
      <c r="DJP70" s="227"/>
      <c r="DJQ70" s="228"/>
      <c r="DJR70" s="228"/>
      <c r="DJS70" s="228"/>
      <c r="DJT70" s="228"/>
      <c r="DJU70" s="228"/>
      <c r="DJV70" s="228"/>
      <c r="DJW70" s="226"/>
      <c r="DJX70" s="226"/>
      <c r="DJY70" s="224"/>
      <c r="DJZ70" s="225"/>
      <c r="DKA70" s="226"/>
      <c r="DKB70" s="227"/>
      <c r="DKC70" s="228"/>
      <c r="DKD70" s="228"/>
      <c r="DKE70" s="228"/>
      <c r="DKF70" s="228"/>
      <c r="DKG70" s="228"/>
      <c r="DKH70" s="228"/>
      <c r="DKI70" s="226"/>
      <c r="DKJ70" s="226"/>
      <c r="DKK70" s="224"/>
      <c r="DKL70" s="225"/>
      <c r="DKM70" s="226"/>
      <c r="DKN70" s="227"/>
      <c r="DKO70" s="228"/>
      <c r="DKP70" s="228"/>
      <c r="DKQ70" s="228"/>
      <c r="DKR70" s="228"/>
      <c r="DKS70" s="228"/>
      <c r="DKT70" s="228"/>
      <c r="DKU70" s="226"/>
      <c r="DKV70" s="226"/>
      <c r="DKW70" s="224"/>
      <c r="DKX70" s="225"/>
      <c r="DKY70" s="226"/>
      <c r="DKZ70" s="227"/>
      <c r="DLA70" s="228"/>
      <c r="DLB70" s="228"/>
      <c r="DLC70" s="228"/>
      <c r="DLD70" s="228"/>
      <c r="DLE70" s="228"/>
      <c r="DLF70" s="228"/>
      <c r="DLG70" s="226"/>
      <c r="DLH70" s="226"/>
      <c r="DLI70" s="224"/>
      <c r="DLJ70" s="225"/>
      <c r="DLK70" s="226"/>
      <c r="DLL70" s="227"/>
      <c r="DLM70" s="228"/>
      <c r="DLN70" s="228"/>
      <c r="DLO70" s="228"/>
      <c r="DLP70" s="228"/>
      <c r="DLQ70" s="228"/>
      <c r="DLR70" s="228"/>
      <c r="DLS70" s="226"/>
      <c r="DLT70" s="226"/>
      <c r="DLU70" s="224"/>
      <c r="DLV70" s="225"/>
      <c r="DLW70" s="226"/>
      <c r="DLX70" s="227"/>
      <c r="DLY70" s="228"/>
      <c r="DLZ70" s="228"/>
      <c r="DMA70" s="228"/>
      <c r="DMB70" s="228"/>
      <c r="DMC70" s="228"/>
      <c r="DMD70" s="228"/>
      <c r="DME70" s="226"/>
      <c r="DMF70" s="226"/>
      <c r="DMG70" s="224"/>
      <c r="DMH70" s="225"/>
      <c r="DMI70" s="226"/>
      <c r="DMJ70" s="227"/>
      <c r="DMK70" s="228"/>
      <c r="DML70" s="228"/>
      <c r="DMM70" s="228"/>
      <c r="DMN70" s="228"/>
      <c r="DMO70" s="228"/>
      <c r="DMP70" s="228"/>
      <c r="DMQ70" s="226"/>
      <c r="DMR70" s="226"/>
      <c r="DMS70" s="224"/>
      <c r="DMT70" s="225"/>
      <c r="DMU70" s="226"/>
      <c r="DMV70" s="227"/>
      <c r="DMW70" s="228"/>
      <c r="DMX70" s="228"/>
      <c r="DMY70" s="228"/>
      <c r="DMZ70" s="228"/>
      <c r="DNA70" s="228"/>
      <c r="DNB70" s="228"/>
      <c r="DNC70" s="226"/>
      <c r="DND70" s="226"/>
      <c r="DNE70" s="224"/>
      <c r="DNF70" s="225"/>
      <c r="DNG70" s="226"/>
      <c r="DNH70" s="227"/>
      <c r="DNI70" s="228"/>
      <c r="DNJ70" s="228"/>
      <c r="DNK70" s="228"/>
      <c r="DNL70" s="228"/>
      <c r="DNM70" s="228"/>
      <c r="DNN70" s="228"/>
      <c r="DNO70" s="226"/>
      <c r="DNP70" s="226"/>
      <c r="DNQ70" s="224"/>
      <c r="DNR70" s="225"/>
      <c r="DNS70" s="226"/>
      <c r="DNT70" s="227"/>
      <c r="DNU70" s="228"/>
      <c r="DNV70" s="228"/>
      <c r="DNW70" s="228"/>
      <c r="DNX70" s="228"/>
      <c r="DNY70" s="228"/>
      <c r="DNZ70" s="228"/>
      <c r="DOA70" s="226"/>
      <c r="DOB70" s="226"/>
      <c r="DOC70" s="224"/>
      <c r="DOD70" s="225"/>
      <c r="DOE70" s="226"/>
      <c r="DOF70" s="227"/>
      <c r="DOG70" s="228"/>
      <c r="DOH70" s="228"/>
      <c r="DOI70" s="228"/>
      <c r="DOJ70" s="228"/>
      <c r="DOK70" s="228"/>
      <c r="DOL70" s="228"/>
      <c r="DOM70" s="226"/>
      <c r="DON70" s="226"/>
      <c r="DOO70" s="224"/>
      <c r="DOP70" s="225"/>
      <c r="DOQ70" s="226"/>
      <c r="DOR70" s="227"/>
      <c r="DOS70" s="228"/>
      <c r="DOT70" s="228"/>
      <c r="DOU70" s="228"/>
      <c r="DOV70" s="228"/>
      <c r="DOW70" s="228"/>
      <c r="DOX70" s="228"/>
      <c r="DOY70" s="226"/>
      <c r="DOZ70" s="226"/>
      <c r="DPA70" s="224"/>
      <c r="DPB70" s="225"/>
      <c r="DPC70" s="226"/>
      <c r="DPD70" s="227"/>
      <c r="DPE70" s="228"/>
      <c r="DPF70" s="228"/>
      <c r="DPG70" s="228"/>
      <c r="DPH70" s="228"/>
      <c r="DPI70" s="228"/>
      <c r="DPJ70" s="228"/>
      <c r="DPK70" s="226"/>
      <c r="DPL70" s="226"/>
      <c r="DPM70" s="224"/>
      <c r="DPN70" s="225"/>
      <c r="DPO70" s="226"/>
      <c r="DPP70" s="227"/>
      <c r="DPQ70" s="228"/>
      <c r="DPR70" s="228"/>
      <c r="DPS70" s="228"/>
      <c r="DPT70" s="228"/>
      <c r="DPU70" s="228"/>
      <c r="DPV70" s="228"/>
      <c r="DPW70" s="226"/>
      <c r="DPX70" s="226"/>
      <c r="DPY70" s="224"/>
      <c r="DPZ70" s="225"/>
      <c r="DQA70" s="226"/>
      <c r="DQB70" s="227"/>
      <c r="DQC70" s="228"/>
      <c r="DQD70" s="228"/>
      <c r="DQE70" s="228"/>
      <c r="DQF70" s="228"/>
      <c r="DQG70" s="228"/>
      <c r="DQH70" s="228"/>
      <c r="DQI70" s="226"/>
      <c r="DQJ70" s="226"/>
      <c r="DQK70" s="224"/>
      <c r="DQL70" s="225"/>
      <c r="DQM70" s="226"/>
      <c r="DQN70" s="227"/>
      <c r="DQO70" s="228"/>
      <c r="DQP70" s="228"/>
      <c r="DQQ70" s="228"/>
      <c r="DQR70" s="228"/>
      <c r="DQS70" s="228"/>
      <c r="DQT70" s="228"/>
      <c r="DQU70" s="226"/>
      <c r="DQV70" s="226"/>
      <c r="DQW70" s="224"/>
      <c r="DQX70" s="225"/>
      <c r="DQY70" s="226"/>
      <c r="DQZ70" s="227"/>
      <c r="DRA70" s="228"/>
      <c r="DRB70" s="228"/>
      <c r="DRC70" s="228"/>
      <c r="DRD70" s="228"/>
      <c r="DRE70" s="228"/>
      <c r="DRF70" s="228"/>
      <c r="DRG70" s="226"/>
      <c r="DRH70" s="226"/>
      <c r="DRI70" s="224"/>
      <c r="DRJ70" s="225"/>
      <c r="DRK70" s="226"/>
      <c r="DRL70" s="227"/>
      <c r="DRM70" s="228"/>
      <c r="DRN70" s="228"/>
      <c r="DRO70" s="228"/>
      <c r="DRP70" s="228"/>
      <c r="DRQ70" s="228"/>
      <c r="DRR70" s="228"/>
      <c r="DRS70" s="226"/>
      <c r="DRT70" s="226"/>
      <c r="DRU70" s="224"/>
      <c r="DRV70" s="225"/>
      <c r="DRW70" s="226"/>
      <c r="DRX70" s="227"/>
      <c r="DRY70" s="228"/>
      <c r="DRZ70" s="228"/>
      <c r="DSA70" s="228"/>
      <c r="DSB70" s="228"/>
      <c r="DSC70" s="228"/>
      <c r="DSD70" s="228"/>
      <c r="DSE70" s="226"/>
      <c r="DSF70" s="226"/>
      <c r="DSG70" s="224"/>
      <c r="DSH70" s="225"/>
      <c r="DSI70" s="226"/>
      <c r="DSJ70" s="227"/>
      <c r="DSK70" s="228"/>
      <c r="DSL70" s="228"/>
      <c r="DSM70" s="228"/>
      <c r="DSN70" s="228"/>
      <c r="DSO70" s="228"/>
      <c r="DSP70" s="228"/>
      <c r="DSQ70" s="226"/>
      <c r="DSR70" s="226"/>
      <c r="DSS70" s="224"/>
      <c r="DST70" s="225"/>
      <c r="DSU70" s="226"/>
      <c r="DSV70" s="227"/>
      <c r="DSW70" s="228"/>
      <c r="DSX70" s="228"/>
      <c r="DSY70" s="228"/>
      <c r="DSZ70" s="228"/>
      <c r="DTA70" s="228"/>
      <c r="DTB70" s="228"/>
      <c r="DTC70" s="226"/>
      <c r="DTD70" s="226"/>
      <c r="DTE70" s="224"/>
      <c r="DTF70" s="225"/>
      <c r="DTG70" s="226"/>
      <c r="DTH70" s="227"/>
      <c r="DTI70" s="228"/>
      <c r="DTJ70" s="228"/>
      <c r="DTK70" s="228"/>
      <c r="DTL70" s="228"/>
      <c r="DTM70" s="228"/>
      <c r="DTN70" s="228"/>
      <c r="DTO70" s="226"/>
      <c r="DTP70" s="226"/>
      <c r="DTQ70" s="224"/>
      <c r="DTR70" s="225"/>
      <c r="DTS70" s="226"/>
      <c r="DTT70" s="227"/>
      <c r="DTU70" s="228"/>
      <c r="DTV70" s="228"/>
      <c r="DTW70" s="228"/>
      <c r="DTX70" s="228"/>
      <c r="DTY70" s="228"/>
      <c r="DTZ70" s="228"/>
      <c r="DUA70" s="226"/>
      <c r="DUB70" s="226"/>
      <c r="DUC70" s="224"/>
      <c r="DUD70" s="225"/>
      <c r="DUE70" s="226"/>
      <c r="DUF70" s="227"/>
      <c r="DUG70" s="228"/>
      <c r="DUH70" s="228"/>
      <c r="DUI70" s="228"/>
      <c r="DUJ70" s="228"/>
      <c r="DUK70" s="228"/>
      <c r="DUL70" s="228"/>
      <c r="DUM70" s="226"/>
      <c r="DUN70" s="226"/>
      <c r="DUO70" s="224"/>
      <c r="DUP70" s="225"/>
      <c r="DUQ70" s="226"/>
      <c r="DUR70" s="227"/>
      <c r="DUS70" s="228"/>
      <c r="DUT70" s="228"/>
      <c r="DUU70" s="228"/>
      <c r="DUV70" s="228"/>
      <c r="DUW70" s="228"/>
      <c r="DUX70" s="228"/>
      <c r="DUY70" s="226"/>
      <c r="DUZ70" s="226"/>
      <c r="DVA70" s="224"/>
      <c r="DVB70" s="225"/>
      <c r="DVC70" s="226"/>
      <c r="DVD70" s="227"/>
      <c r="DVE70" s="228"/>
      <c r="DVF70" s="228"/>
      <c r="DVG70" s="228"/>
      <c r="DVH70" s="228"/>
      <c r="DVI70" s="228"/>
      <c r="DVJ70" s="228"/>
      <c r="DVK70" s="226"/>
      <c r="DVL70" s="226"/>
      <c r="DVM70" s="224"/>
      <c r="DVN70" s="225"/>
      <c r="DVO70" s="226"/>
      <c r="DVP70" s="227"/>
      <c r="DVQ70" s="228"/>
      <c r="DVR70" s="228"/>
      <c r="DVS70" s="228"/>
      <c r="DVT70" s="228"/>
      <c r="DVU70" s="228"/>
      <c r="DVV70" s="228"/>
      <c r="DVW70" s="226"/>
      <c r="DVX70" s="226"/>
      <c r="DVY70" s="224"/>
      <c r="DVZ70" s="225"/>
      <c r="DWA70" s="226"/>
      <c r="DWB70" s="227"/>
      <c r="DWC70" s="228"/>
      <c r="DWD70" s="228"/>
      <c r="DWE70" s="228"/>
      <c r="DWF70" s="228"/>
      <c r="DWG70" s="228"/>
      <c r="DWH70" s="228"/>
      <c r="DWI70" s="226"/>
      <c r="DWJ70" s="226"/>
      <c r="DWK70" s="224"/>
      <c r="DWL70" s="225"/>
      <c r="DWM70" s="226"/>
      <c r="DWN70" s="227"/>
      <c r="DWO70" s="228"/>
      <c r="DWP70" s="228"/>
      <c r="DWQ70" s="228"/>
      <c r="DWR70" s="228"/>
      <c r="DWS70" s="228"/>
      <c r="DWT70" s="228"/>
      <c r="DWU70" s="226"/>
      <c r="DWV70" s="226"/>
      <c r="DWW70" s="224"/>
      <c r="DWX70" s="225"/>
      <c r="DWY70" s="226"/>
      <c r="DWZ70" s="227"/>
      <c r="DXA70" s="228"/>
      <c r="DXB70" s="228"/>
      <c r="DXC70" s="228"/>
      <c r="DXD70" s="228"/>
      <c r="DXE70" s="228"/>
      <c r="DXF70" s="228"/>
      <c r="DXG70" s="226"/>
      <c r="DXH70" s="226"/>
      <c r="DXI70" s="224"/>
      <c r="DXJ70" s="225"/>
      <c r="DXK70" s="226"/>
      <c r="DXL70" s="227"/>
      <c r="DXM70" s="228"/>
      <c r="DXN70" s="228"/>
      <c r="DXO70" s="228"/>
      <c r="DXP70" s="228"/>
      <c r="DXQ70" s="228"/>
      <c r="DXR70" s="228"/>
      <c r="DXS70" s="226"/>
      <c r="DXT70" s="226"/>
      <c r="DXU70" s="224"/>
      <c r="DXV70" s="225"/>
      <c r="DXW70" s="226"/>
      <c r="DXX70" s="227"/>
      <c r="DXY70" s="228"/>
      <c r="DXZ70" s="228"/>
      <c r="DYA70" s="228"/>
      <c r="DYB70" s="228"/>
      <c r="DYC70" s="228"/>
      <c r="DYD70" s="228"/>
      <c r="DYE70" s="226"/>
      <c r="DYF70" s="226"/>
      <c r="DYG70" s="224"/>
      <c r="DYH70" s="225"/>
      <c r="DYI70" s="226"/>
      <c r="DYJ70" s="227"/>
      <c r="DYK70" s="228"/>
      <c r="DYL70" s="228"/>
      <c r="DYM70" s="228"/>
      <c r="DYN70" s="228"/>
      <c r="DYO70" s="228"/>
      <c r="DYP70" s="228"/>
      <c r="DYQ70" s="226"/>
      <c r="DYR70" s="226"/>
      <c r="DYS70" s="224"/>
      <c r="DYT70" s="225"/>
      <c r="DYU70" s="226"/>
      <c r="DYV70" s="227"/>
      <c r="DYW70" s="228"/>
      <c r="DYX70" s="228"/>
      <c r="DYY70" s="228"/>
      <c r="DYZ70" s="228"/>
      <c r="DZA70" s="228"/>
      <c r="DZB70" s="228"/>
      <c r="DZC70" s="226"/>
      <c r="DZD70" s="226"/>
      <c r="DZE70" s="224"/>
      <c r="DZF70" s="225"/>
      <c r="DZG70" s="226"/>
      <c r="DZH70" s="227"/>
      <c r="DZI70" s="228"/>
      <c r="DZJ70" s="228"/>
      <c r="DZK70" s="228"/>
      <c r="DZL70" s="228"/>
      <c r="DZM70" s="228"/>
      <c r="DZN70" s="228"/>
      <c r="DZO70" s="226"/>
      <c r="DZP70" s="226"/>
      <c r="DZQ70" s="224"/>
      <c r="DZR70" s="225"/>
      <c r="DZS70" s="226"/>
      <c r="DZT70" s="227"/>
      <c r="DZU70" s="228"/>
      <c r="DZV70" s="228"/>
      <c r="DZW70" s="228"/>
      <c r="DZX70" s="228"/>
      <c r="DZY70" s="228"/>
      <c r="DZZ70" s="228"/>
      <c r="EAA70" s="226"/>
      <c r="EAB70" s="226"/>
      <c r="EAC70" s="224"/>
      <c r="EAD70" s="225"/>
      <c r="EAE70" s="226"/>
      <c r="EAF70" s="227"/>
      <c r="EAG70" s="228"/>
      <c r="EAH70" s="228"/>
      <c r="EAI70" s="228"/>
      <c r="EAJ70" s="228"/>
      <c r="EAK70" s="228"/>
      <c r="EAL70" s="228"/>
      <c r="EAM70" s="226"/>
      <c r="EAN70" s="226"/>
      <c r="EAO70" s="224"/>
      <c r="EAP70" s="225"/>
      <c r="EAQ70" s="226"/>
      <c r="EAR70" s="227"/>
      <c r="EAS70" s="228"/>
      <c r="EAT70" s="228"/>
      <c r="EAU70" s="228"/>
      <c r="EAV70" s="228"/>
      <c r="EAW70" s="228"/>
      <c r="EAX70" s="228"/>
      <c r="EAY70" s="226"/>
      <c r="EAZ70" s="226"/>
      <c r="EBA70" s="224"/>
      <c r="EBB70" s="225"/>
      <c r="EBC70" s="226"/>
      <c r="EBD70" s="227"/>
      <c r="EBE70" s="228"/>
      <c r="EBF70" s="228"/>
      <c r="EBG70" s="228"/>
      <c r="EBH70" s="228"/>
      <c r="EBI70" s="228"/>
      <c r="EBJ70" s="228"/>
      <c r="EBK70" s="226"/>
      <c r="EBL70" s="226"/>
      <c r="EBM70" s="224"/>
      <c r="EBN70" s="225"/>
      <c r="EBO70" s="226"/>
      <c r="EBP70" s="227"/>
      <c r="EBQ70" s="228"/>
      <c r="EBR70" s="228"/>
      <c r="EBS70" s="228"/>
      <c r="EBT70" s="228"/>
      <c r="EBU70" s="228"/>
      <c r="EBV70" s="228"/>
      <c r="EBW70" s="226"/>
      <c r="EBX70" s="226"/>
      <c r="EBY70" s="224"/>
      <c r="EBZ70" s="225"/>
      <c r="ECA70" s="226"/>
      <c r="ECB70" s="227"/>
      <c r="ECC70" s="228"/>
      <c r="ECD70" s="228"/>
      <c r="ECE70" s="228"/>
      <c r="ECF70" s="228"/>
      <c r="ECG70" s="228"/>
      <c r="ECH70" s="228"/>
      <c r="ECI70" s="226"/>
      <c r="ECJ70" s="226"/>
      <c r="ECK70" s="224"/>
      <c r="ECL70" s="225"/>
      <c r="ECM70" s="226"/>
      <c r="ECN70" s="227"/>
      <c r="ECO70" s="228"/>
      <c r="ECP70" s="228"/>
      <c r="ECQ70" s="228"/>
      <c r="ECR70" s="228"/>
      <c r="ECS70" s="228"/>
      <c r="ECT70" s="228"/>
      <c r="ECU70" s="226"/>
      <c r="ECV70" s="226"/>
      <c r="ECW70" s="224"/>
      <c r="ECX70" s="225"/>
      <c r="ECY70" s="226"/>
      <c r="ECZ70" s="227"/>
      <c r="EDA70" s="228"/>
      <c r="EDB70" s="228"/>
      <c r="EDC70" s="228"/>
      <c r="EDD70" s="228"/>
      <c r="EDE70" s="228"/>
      <c r="EDF70" s="228"/>
      <c r="EDG70" s="226"/>
      <c r="EDH70" s="226"/>
      <c r="EDI70" s="224"/>
      <c r="EDJ70" s="225"/>
      <c r="EDK70" s="226"/>
      <c r="EDL70" s="227"/>
      <c r="EDM70" s="228"/>
      <c r="EDN70" s="228"/>
      <c r="EDO70" s="228"/>
      <c r="EDP70" s="228"/>
      <c r="EDQ70" s="228"/>
      <c r="EDR70" s="228"/>
      <c r="EDS70" s="226"/>
      <c r="EDT70" s="226"/>
      <c r="EDU70" s="224"/>
      <c r="EDV70" s="225"/>
      <c r="EDW70" s="226"/>
      <c r="EDX70" s="227"/>
      <c r="EDY70" s="228"/>
      <c r="EDZ70" s="228"/>
      <c r="EEA70" s="228"/>
      <c r="EEB70" s="228"/>
      <c r="EEC70" s="228"/>
      <c r="EED70" s="228"/>
      <c r="EEE70" s="226"/>
      <c r="EEF70" s="226"/>
      <c r="EEG70" s="224"/>
      <c r="EEH70" s="225"/>
      <c r="EEI70" s="226"/>
      <c r="EEJ70" s="227"/>
      <c r="EEK70" s="228"/>
      <c r="EEL70" s="228"/>
      <c r="EEM70" s="228"/>
      <c r="EEN70" s="228"/>
      <c r="EEO70" s="228"/>
      <c r="EEP70" s="228"/>
      <c r="EEQ70" s="226"/>
      <c r="EER70" s="226"/>
      <c r="EES70" s="224"/>
      <c r="EET70" s="225"/>
      <c r="EEU70" s="226"/>
      <c r="EEV70" s="227"/>
      <c r="EEW70" s="228"/>
      <c r="EEX70" s="228"/>
      <c r="EEY70" s="228"/>
      <c r="EEZ70" s="228"/>
      <c r="EFA70" s="228"/>
      <c r="EFB70" s="228"/>
      <c r="EFC70" s="226"/>
      <c r="EFD70" s="226"/>
      <c r="EFE70" s="224"/>
      <c r="EFF70" s="225"/>
      <c r="EFG70" s="226"/>
      <c r="EFH70" s="227"/>
      <c r="EFI70" s="228"/>
      <c r="EFJ70" s="228"/>
      <c r="EFK70" s="228"/>
      <c r="EFL70" s="228"/>
      <c r="EFM70" s="228"/>
      <c r="EFN70" s="228"/>
      <c r="EFO70" s="226"/>
      <c r="EFP70" s="226"/>
      <c r="EFQ70" s="224"/>
      <c r="EFR70" s="225"/>
      <c r="EFS70" s="226"/>
      <c r="EFT70" s="227"/>
      <c r="EFU70" s="228"/>
      <c r="EFV70" s="228"/>
      <c r="EFW70" s="228"/>
      <c r="EFX70" s="228"/>
      <c r="EFY70" s="228"/>
      <c r="EFZ70" s="228"/>
      <c r="EGA70" s="226"/>
      <c r="EGB70" s="226"/>
      <c r="EGC70" s="224"/>
      <c r="EGD70" s="225"/>
      <c r="EGE70" s="226"/>
      <c r="EGF70" s="227"/>
      <c r="EGG70" s="228"/>
      <c r="EGH70" s="228"/>
      <c r="EGI70" s="228"/>
      <c r="EGJ70" s="228"/>
      <c r="EGK70" s="228"/>
      <c r="EGL70" s="228"/>
      <c r="EGM70" s="226"/>
      <c r="EGN70" s="226"/>
      <c r="EGO70" s="224"/>
      <c r="EGP70" s="225"/>
      <c r="EGQ70" s="226"/>
      <c r="EGR70" s="227"/>
      <c r="EGS70" s="228"/>
      <c r="EGT70" s="228"/>
      <c r="EGU70" s="228"/>
      <c r="EGV70" s="228"/>
      <c r="EGW70" s="228"/>
      <c r="EGX70" s="228"/>
      <c r="EGY70" s="226"/>
      <c r="EGZ70" s="226"/>
      <c r="EHA70" s="224"/>
      <c r="EHB70" s="225"/>
      <c r="EHC70" s="226"/>
      <c r="EHD70" s="227"/>
      <c r="EHE70" s="228"/>
      <c r="EHF70" s="228"/>
      <c r="EHG70" s="228"/>
      <c r="EHH70" s="228"/>
      <c r="EHI70" s="228"/>
      <c r="EHJ70" s="228"/>
      <c r="EHK70" s="226"/>
      <c r="EHL70" s="226"/>
      <c r="EHM70" s="224"/>
      <c r="EHN70" s="225"/>
      <c r="EHO70" s="226"/>
      <c r="EHP70" s="227"/>
      <c r="EHQ70" s="228"/>
      <c r="EHR70" s="228"/>
      <c r="EHS70" s="228"/>
      <c r="EHT70" s="228"/>
      <c r="EHU70" s="228"/>
      <c r="EHV70" s="228"/>
      <c r="EHW70" s="226"/>
      <c r="EHX70" s="226"/>
      <c r="EHY70" s="224"/>
      <c r="EHZ70" s="225"/>
      <c r="EIA70" s="226"/>
      <c r="EIB70" s="227"/>
      <c r="EIC70" s="228"/>
      <c r="EID70" s="228"/>
      <c r="EIE70" s="228"/>
      <c r="EIF70" s="228"/>
      <c r="EIG70" s="228"/>
      <c r="EIH70" s="228"/>
      <c r="EII70" s="226"/>
      <c r="EIJ70" s="226"/>
      <c r="EIK70" s="224"/>
      <c r="EIL70" s="225"/>
      <c r="EIM70" s="226"/>
      <c r="EIN70" s="227"/>
      <c r="EIO70" s="228"/>
      <c r="EIP70" s="228"/>
      <c r="EIQ70" s="228"/>
      <c r="EIR70" s="228"/>
      <c r="EIS70" s="228"/>
      <c r="EIT70" s="228"/>
      <c r="EIU70" s="226"/>
      <c r="EIV70" s="226"/>
      <c r="EIW70" s="224"/>
      <c r="EIX70" s="225"/>
      <c r="EIY70" s="226"/>
      <c r="EIZ70" s="227"/>
      <c r="EJA70" s="228"/>
      <c r="EJB70" s="228"/>
      <c r="EJC70" s="228"/>
      <c r="EJD70" s="228"/>
      <c r="EJE70" s="228"/>
      <c r="EJF70" s="228"/>
      <c r="EJG70" s="226"/>
      <c r="EJH70" s="226"/>
      <c r="EJI70" s="224"/>
      <c r="EJJ70" s="225"/>
      <c r="EJK70" s="226"/>
      <c r="EJL70" s="227"/>
      <c r="EJM70" s="228"/>
      <c r="EJN70" s="228"/>
      <c r="EJO70" s="228"/>
      <c r="EJP70" s="228"/>
      <c r="EJQ70" s="228"/>
      <c r="EJR70" s="228"/>
      <c r="EJS70" s="226"/>
      <c r="EJT70" s="226"/>
      <c r="EJU70" s="224"/>
      <c r="EJV70" s="225"/>
      <c r="EJW70" s="226"/>
      <c r="EJX70" s="227"/>
      <c r="EJY70" s="228"/>
      <c r="EJZ70" s="228"/>
      <c r="EKA70" s="228"/>
      <c r="EKB70" s="228"/>
      <c r="EKC70" s="228"/>
      <c r="EKD70" s="228"/>
      <c r="EKE70" s="226"/>
      <c r="EKF70" s="226"/>
      <c r="EKG70" s="224"/>
      <c r="EKH70" s="225"/>
      <c r="EKI70" s="226"/>
      <c r="EKJ70" s="227"/>
      <c r="EKK70" s="228"/>
      <c r="EKL70" s="228"/>
      <c r="EKM70" s="228"/>
      <c r="EKN70" s="228"/>
      <c r="EKO70" s="228"/>
      <c r="EKP70" s="228"/>
      <c r="EKQ70" s="226"/>
      <c r="EKR70" s="226"/>
      <c r="EKS70" s="224"/>
      <c r="EKT70" s="225"/>
      <c r="EKU70" s="226"/>
      <c r="EKV70" s="227"/>
      <c r="EKW70" s="228"/>
      <c r="EKX70" s="228"/>
      <c r="EKY70" s="228"/>
      <c r="EKZ70" s="228"/>
      <c r="ELA70" s="228"/>
      <c r="ELB70" s="228"/>
      <c r="ELC70" s="226"/>
      <c r="ELD70" s="226"/>
      <c r="ELE70" s="224"/>
      <c r="ELF70" s="225"/>
      <c r="ELG70" s="226"/>
      <c r="ELH70" s="227"/>
      <c r="ELI70" s="228"/>
      <c r="ELJ70" s="228"/>
      <c r="ELK70" s="228"/>
      <c r="ELL70" s="228"/>
      <c r="ELM70" s="228"/>
      <c r="ELN70" s="228"/>
      <c r="ELO70" s="226"/>
      <c r="ELP70" s="226"/>
      <c r="ELQ70" s="224"/>
      <c r="ELR70" s="225"/>
      <c r="ELS70" s="226"/>
      <c r="ELT70" s="227"/>
      <c r="ELU70" s="228"/>
      <c r="ELV70" s="228"/>
      <c r="ELW70" s="228"/>
      <c r="ELX70" s="228"/>
      <c r="ELY70" s="228"/>
      <c r="ELZ70" s="228"/>
      <c r="EMA70" s="226"/>
      <c r="EMB70" s="226"/>
      <c r="EMC70" s="224"/>
      <c r="EMD70" s="225"/>
      <c r="EME70" s="226"/>
      <c r="EMF70" s="227"/>
      <c r="EMG70" s="228"/>
      <c r="EMH70" s="228"/>
      <c r="EMI70" s="228"/>
      <c r="EMJ70" s="228"/>
      <c r="EMK70" s="228"/>
      <c r="EML70" s="228"/>
      <c r="EMM70" s="226"/>
      <c r="EMN70" s="226"/>
      <c r="EMO70" s="224"/>
      <c r="EMP70" s="225"/>
      <c r="EMQ70" s="226"/>
      <c r="EMR70" s="227"/>
      <c r="EMS70" s="228"/>
      <c r="EMT70" s="228"/>
      <c r="EMU70" s="228"/>
      <c r="EMV70" s="228"/>
      <c r="EMW70" s="228"/>
      <c r="EMX70" s="228"/>
      <c r="EMY70" s="226"/>
      <c r="EMZ70" s="226"/>
      <c r="ENA70" s="224"/>
      <c r="ENB70" s="225"/>
      <c r="ENC70" s="226"/>
      <c r="END70" s="227"/>
      <c r="ENE70" s="228"/>
      <c r="ENF70" s="228"/>
      <c r="ENG70" s="228"/>
      <c r="ENH70" s="228"/>
      <c r="ENI70" s="228"/>
      <c r="ENJ70" s="228"/>
      <c r="ENK70" s="226"/>
      <c r="ENL70" s="226"/>
      <c r="ENM70" s="224"/>
      <c r="ENN70" s="225"/>
      <c r="ENO70" s="226"/>
      <c r="ENP70" s="227"/>
      <c r="ENQ70" s="228"/>
      <c r="ENR70" s="228"/>
      <c r="ENS70" s="228"/>
      <c r="ENT70" s="228"/>
      <c r="ENU70" s="228"/>
      <c r="ENV70" s="228"/>
      <c r="ENW70" s="226"/>
      <c r="ENX70" s="226"/>
      <c r="ENY70" s="224"/>
      <c r="ENZ70" s="225"/>
      <c r="EOA70" s="226"/>
      <c r="EOB70" s="227"/>
      <c r="EOC70" s="228"/>
      <c r="EOD70" s="228"/>
      <c r="EOE70" s="228"/>
      <c r="EOF70" s="228"/>
      <c r="EOG70" s="228"/>
      <c r="EOH70" s="228"/>
      <c r="EOI70" s="226"/>
      <c r="EOJ70" s="226"/>
      <c r="EOK70" s="224"/>
      <c r="EOL70" s="225"/>
      <c r="EOM70" s="226"/>
      <c r="EON70" s="227"/>
      <c r="EOO70" s="228"/>
      <c r="EOP70" s="228"/>
      <c r="EOQ70" s="228"/>
      <c r="EOR70" s="228"/>
      <c r="EOS70" s="228"/>
      <c r="EOT70" s="228"/>
      <c r="EOU70" s="226"/>
      <c r="EOV70" s="226"/>
      <c r="EOW70" s="224"/>
      <c r="EOX70" s="225"/>
      <c r="EOY70" s="226"/>
      <c r="EOZ70" s="227"/>
      <c r="EPA70" s="228"/>
      <c r="EPB70" s="228"/>
      <c r="EPC70" s="228"/>
      <c r="EPD70" s="228"/>
      <c r="EPE70" s="228"/>
      <c r="EPF70" s="228"/>
      <c r="EPG70" s="226"/>
      <c r="EPH70" s="226"/>
      <c r="EPI70" s="224"/>
      <c r="EPJ70" s="225"/>
      <c r="EPK70" s="226"/>
      <c r="EPL70" s="227"/>
      <c r="EPM70" s="228"/>
      <c r="EPN70" s="228"/>
      <c r="EPO70" s="228"/>
      <c r="EPP70" s="228"/>
      <c r="EPQ70" s="228"/>
      <c r="EPR70" s="228"/>
      <c r="EPS70" s="226"/>
      <c r="EPT70" s="226"/>
      <c r="EPU70" s="224"/>
      <c r="EPV70" s="225"/>
      <c r="EPW70" s="226"/>
      <c r="EPX70" s="227"/>
      <c r="EPY70" s="228"/>
      <c r="EPZ70" s="228"/>
      <c r="EQA70" s="228"/>
      <c r="EQB70" s="228"/>
      <c r="EQC70" s="228"/>
      <c r="EQD70" s="228"/>
      <c r="EQE70" s="226"/>
      <c r="EQF70" s="226"/>
      <c r="EQG70" s="224"/>
      <c r="EQH70" s="225"/>
      <c r="EQI70" s="226"/>
      <c r="EQJ70" s="227"/>
      <c r="EQK70" s="228"/>
      <c r="EQL70" s="228"/>
      <c r="EQM70" s="228"/>
      <c r="EQN70" s="228"/>
      <c r="EQO70" s="228"/>
      <c r="EQP70" s="228"/>
      <c r="EQQ70" s="226"/>
      <c r="EQR70" s="226"/>
      <c r="EQS70" s="224"/>
      <c r="EQT70" s="225"/>
      <c r="EQU70" s="226"/>
      <c r="EQV70" s="227"/>
      <c r="EQW70" s="228"/>
      <c r="EQX70" s="228"/>
      <c r="EQY70" s="228"/>
      <c r="EQZ70" s="228"/>
      <c r="ERA70" s="228"/>
      <c r="ERB70" s="228"/>
      <c r="ERC70" s="226"/>
      <c r="ERD70" s="226"/>
      <c r="ERE70" s="224"/>
      <c r="ERF70" s="225"/>
      <c r="ERG70" s="226"/>
      <c r="ERH70" s="227"/>
      <c r="ERI70" s="228"/>
      <c r="ERJ70" s="228"/>
      <c r="ERK70" s="228"/>
      <c r="ERL70" s="228"/>
      <c r="ERM70" s="228"/>
      <c r="ERN70" s="228"/>
      <c r="ERO70" s="226"/>
      <c r="ERP70" s="226"/>
      <c r="ERQ70" s="224"/>
      <c r="ERR70" s="225"/>
      <c r="ERS70" s="226"/>
      <c r="ERT70" s="227"/>
      <c r="ERU70" s="228"/>
      <c r="ERV70" s="228"/>
      <c r="ERW70" s="228"/>
      <c r="ERX70" s="228"/>
      <c r="ERY70" s="228"/>
      <c r="ERZ70" s="228"/>
      <c r="ESA70" s="226"/>
      <c r="ESB70" s="226"/>
      <c r="ESC70" s="224"/>
      <c r="ESD70" s="225"/>
      <c r="ESE70" s="226"/>
      <c r="ESF70" s="227"/>
      <c r="ESG70" s="228"/>
      <c r="ESH70" s="228"/>
      <c r="ESI70" s="228"/>
      <c r="ESJ70" s="228"/>
      <c r="ESK70" s="228"/>
      <c r="ESL70" s="228"/>
      <c r="ESM70" s="226"/>
      <c r="ESN70" s="226"/>
      <c r="ESO70" s="224"/>
      <c r="ESP70" s="225"/>
      <c r="ESQ70" s="226"/>
      <c r="ESR70" s="227"/>
      <c r="ESS70" s="228"/>
      <c r="EST70" s="228"/>
      <c r="ESU70" s="228"/>
      <c r="ESV70" s="228"/>
      <c r="ESW70" s="228"/>
      <c r="ESX70" s="228"/>
      <c r="ESY70" s="226"/>
      <c r="ESZ70" s="226"/>
      <c r="ETA70" s="224"/>
      <c r="ETB70" s="225"/>
      <c r="ETC70" s="226"/>
      <c r="ETD70" s="227"/>
      <c r="ETE70" s="228"/>
      <c r="ETF70" s="228"/>
      <c r="ETG70" s="228"/>
      <c r="ETH70" s="228"/>
      <c r="ETI70" s="228"/>
      <c r="ETJ70" s="228"/>
      <c r="ETK70" s="226"/>
      <c r="ETL70" s="226"/>
      <c r="ETM70" s="224"/>
      <c r="ETN70" s="225"/>
      <c r="ETO70" s="226"/>
      <c r="ETP70" s="227"/>
      <c r="ETQ70" s="228"/>
      <c r="ETR70" s="228"/>
      <c r="ETS70" s="228"/>
      <c r="ETT70" s="228"/>
      <c r="ETU70" s="228"/>
      <c r="ETV70" s="228"/>
      <c r="ETW70" s="226"/>
      <c r="ETX70" s="226"/>
      <c r="ETY70" s="224"/>
      <c r="ETZ70" s="225"/>
      <c r="EUA70" s="226"/>
      <c r="EUB70" s="227"/>
      <c r="EUC70" s="228"/>
      <c r="EUD70" s="228"/>
      <c r="EUE70" s="228"/>
      <c r="EUF70" s="228"/>
      <c r="EUG70" s="228"/>
      <c r="EUH70" s="228"/>
      <c r="EUI70" s="226"/>
      <c r="EUJ70" s="226"/>
      <c r="EUK70" s="224"/>
      <c r="EUL70" s="225"/>
      <c r="EUM70" s="226"/>
      <c r="EUN70" s="227"/>
      <c r="EUO70" s="228"/>
      <c r="EUP70" s="228"/>
      <c r="EUQ70" s="228"/>
      <c r="EUR70" s="228"/>
      <c r="EUS70" s="228"/>
      <c r="EUT70" s="228"/>
      <c r="EUU70" s="226"/>
      <c r="EUV70" s="226"/>
      <c r="EUW70" s="224"/>
      <c r="EUX70" s="225"/>
      <c r="EUY70" s="226"/>
      <c r="EUZ70" s="227"/>
      <c r="EVA70" s="228"/>
      <c r="EVB70" s="228"/>
      <c r="EVC70" s="228"/>
      <c r="EVD70" s="228"/>
      <c r="EVE70" s="228"/>
      <c r="EVF70" s="228"/>
      <c r="EVG70" s="226"/>
      <c r="EVH70" s="226"/>
      <c r="EVI70" s="224"/>
      <c r="EVJ70" s="225"/>
      <c r="EVK70" s="226"/>
      <c r="EVL70" s="227"/>
      <c r="EVM70" s="228"/>
      <c r="EVN70" s="228"/>
      <c r="EVO70" s="228"/>
      <c r="EVP70" s="228"/>
      <c r="EVQ70" s="228"/>
      <c r="EVR70" s="228"/>
      <c r="EVS70" s="226"/>
      <c r="EVT70" s="226"/>
      <c r="EVU70" s="224"/>
      <c r="EVV70" s="225"/>
      <c r="EVW70" s="226"/>
      <c r="EVX70" s="227"/>
      <c r="EVY70" s="228"/>
      <c r="EVZ70" s="228"/>
      <c r="EWA70" s="228"/>
      <c r="EWB70" s="228"/>
      <c r="EWC70" s="228"/>
      <c r="EWD70" s="228"/>
      <c r="EWE70" s="226"/>
      <c r="EWF70" s="226"/>
      <c r="EWG70" s="224"/>
      <c r="EWH70" s="225"/>
      <c r="EWI70" s="226"/>
      <c r="EWJ70" s="227"/>
      <c r="EWK70" s="228"/>
      <c r="EWL70" s="228"/>
      <c r="EWM70" s="228"/>
      <c r="EWN70" s="228"/>
      <c r="EWO70" s="228"/>
      <c r="EWP70" s="228"/>
      <c r="EWQ70" s="226"/>
      <c r="EWR70" s="226"/>
      <c r="EWS70" s="224"/>
      <c r="EWT70" s="225"/>
      <c r="EWU70" s="226"/>
      <c r="EWV70" s="227"/>
      <c r="EWW70" s="228"/>
      <c r="EWX70" s="228"/>
      <c r="EWY70" s="228"/>
      <c r="EWZ70" s="228"/>
      <c r="EXA70" s="228"/>
      <c r="EXB70" s="228"/>
      <c r="EXC70" s="226"/>
      <c r="EXD70" s="226"/>
      <c r="EXE70" s="224"/>
      <c r="EXF70" s="225"/>
      <c r="EXG70" s="226"/>
      <c r="EXH70" s="227"/>
      <c r="EXI70" s="228"/>
      <c r="EXJ70" s="228"/>
      <c r="EXK70" s="228"/>
      <c r="EXL70" s="228"/>
      <c r="EXM70" s="228"/>
      <c r="EXN70" s="228"/>
      <c r="EXO70" s="226"/>
      <c r="EXP70" s="226"/>
      <c r="EXQ70" s="224"/>
      <c r="EXR70" s="225"/>
      <c r="EXS70" s="226"/>
      <c r="EXT70" s="227"/>
      <c r="EXU70" s="228"/>
      <c r="EXV70" s="228"/>
      <c r="EXW70" s="228"/>
      <c r="EXX70" s="228"/>
      <c r="EXY70" s="228"/>
      <c r="EXZ70" s="228"/>
      <c r="EYA70" s="226"/>
      <c r="EYB70" s="226"/>
      <c r="EYC70" s="224"/>
      <c r="EYD70" s="225"/>
      <c r="EYE70" s="226"/>
      <c r="EYF70" s="227"/>
      <c r="EYG70" s="228"/>
      <c r="EYH70" s="228"/>
      <c r="EYI70" s="228"/>
      <c r="EYJ70" s="228"/>
      <c r="EYK70" s="228"/>
      <c r="EYL70" s="228"/>
      <c r="EYM70" s="226"/>
      <c r="EYN70" s="226"/>
      <c r="EYO70" s="224"/>
      <c r="EYP70" s="225"/>
      <c r="EYQ70" s="226"/>
      <c r="EYR70" s="227"/>
      <c r="EYS70" s="228"/>
      <c r="EYT70" s="228"/>
      <c r="EYU70" s="228"/>
      <c r="EYV70" s="228"/>
      <c r="EYW70" s="228"/>
      <c r="EYX70" s="228"/>
      <c r="EYY70" s="226"/>
      <c r="EYZ70" s="226"/>
      <c r="EZA70" s="224"/>
      <c r="EZB70" s="225"/>
      <c r="EZC70" s="226"/>
      <c r="EZD70" s="227"/>
      <c r="EZE70" s="228"/>
      <c r="EZF70" s="228"/>
      <c r="EZG70" s="228"/>
      <c r="EZH70" s="228"/>
      <c r="EZI70" s="228"/>
      <c r="EZJ70" s="228"/>
      <c r="EZK70" s="226"/>
      <c r="EZL70" s="226"/>
      <c r="EZM70" s="224"/>
      <c r="EZN70" s="225"/>
      <c r="EZO70" s="226"/>
      <c r="EZP70" s="227"/>
      <c r="EZQ70" s="228"/>
      <c r="EZR70" s="228"/>
      <c r="EZS70" s="228"/>
      <c r="EZT70" s="228"/>
      <c r="EZU70" s="228"/>
      <c r="EZV70" s="228"/>
      <c r="EZW70" s="226"/>
      <c r="EZX70" s="226"/>
      <c r="EZY70" s="224"/>
      <c r="EZZ70" s="225"/>
      <c r="FAA70" s="226"/>
      <c r="FAB70" s="227"/>
      <c r="FAC70" s="228"/>
      <c r="FAD70" s="228"/>
      <c r="FAE70" s="228"/>
      <c r="FAF70" s="228"/>
      <c r="FAG70" s="228"/>
      <c r="FAH70" s="228"/>
      <c r="FAI70" s="226"/>
      <c r="FAJ70" s="226"/>
      <c r="FAK70" s="224"/>
      <c r="FAL70" s="225"/>
      <c r="FAM70" s="226"/>
      <c r="FAN70" s="227"/>
      <c r="FAO70" s="228"/>
      <c r="FAP70" s="228"/>
      <c r="FAQ70" s="228"/>
      <c r="FAR70" s="228"/>
      <c r="FAS70" s="228"/>
      <c r="FAT70" s="228"/>
      <c r="FAU70" s="226"/>
      <c r="FAV70" s="226"/>
      <c r="FAW70" s="224"/>
      <c r="FAX70" s="225"/>
      <c r="FAY70" s="226"/>
      <c r="FAZ70" s="227"/>
      <c r="FBA70" s="228"/>
      <c r="FBB70" s="228"/>
      <c r="FBC70" s="228"/>
      <c r="FBD70" s="228"/>
      <c r="FBE70" s="228"/>
      <c r="FBF70" s="228"/>
      <c r="FBG70" s="226"/>
      <c r="FBH70" s="226"/>
      <c r="FBI70" s="224"/>
      <c r="FBJ70" s="225"/>
      <c r="FBK70" s="226"/>
      <c r="FBL70" s="227"/>
      <c r="FBM70" s="228"/>
      <c r="FBN70" s="228"/>
      <c r="FBO70" s="228"/>
      <c r="FBP70" s="228"/>
      <c r="FBQ70" s="228"/>
      <c r="FBR70" s="228"/>
      <c r="FBS70" s="226"/>
      <c r="FBT70" s="226"/>
      <c r="FBU70" s="224"/>
      <c r="FBV70" s="225"/>
      <c r="FBW70" s="226"/>
      <c r="FBX70" s="227"/>
      <c r="FBY70" s="228"/>
      <c r="FBZ70" s="228"/>
      <c r="FCA70" s="228"/>
      <c r="FCB70" s="228"/>
      <c r="FCC70" s="228"/>
      <c r="FCD70" s="228"/>
      <c r="FCE70" s="226"/>
      <c r="FCF70" s="226"/>
      <c r="FCG70" s="224"/>
      <c r="FCH70" s="225"/>
      <c r="FCI70" s="226"/>
      <c r="FCJ70" s="227"/>
      <c r="FCK70" s="228"/>
      <c r="FCL70" s="228"/>
      <c r="FCM70" s="228"/>
      <c r="FCN70" s="228"/>
      <c r="FCO70" s="228"/>
      <c r="FCP70" s="228"/>
      <c r="FCQ70" s="226"/>
      <c r="FCR70" s="226"/>
      <c r="FCS70" s="224"/>
      <c r="FCT70" s="225"/>
      <c r="FCU70" s="226"/>
      <c r="FCV70" s="227"/>
      <c r="FCW70" s="228"/>
      <c r="FCX70" s="228"/>
      <c r="FCY70" s="228"/>
      <c r="FCZ70" s="228"/>
      <c r="FDA70" s="228"/>
      <c r="FDB70" s="228"/>
      <c r="FDC70" s="226"/>
      <c r="FDD70" s="226"/>
      <c r="FDE70" s="224"/>
      <c r="FDF70" s="225"/>
      <c r="FDG70" s="226"/>
      <c r="FDH70" s="227"/>
      <c r="FDI70" s="228"/>
      <c r="FDJ70" s="228"/>
      <c r="FDK70" s="228"/>
      <c r="FDL70" s="228"/>
      <c r="FDM70" s="228"/>
      <c r="FDN70" s="228"/>
      <c r="FDO70" s="226"/>
      <c r="FDP70" s="226"/>
      <c r="FDQ70" s="224"/>
      <c r="FDR70" s="225"/>
      <c r="FDS70" s="226"/>
      <c r="FDT70" s="227"/>
      <c r="FDU70" s="228"/>
      <c r="FDV70" s="228"/>
      <c r="FDW70" s="228"/>
      <c r="FDX70" s="228"/>
      <c r="FDY70" s="228"/>
      <c r="FDZ70" s="228"/>
      <c r="FEA70" s="226"/>
      <c r="FEB70" s="226"/>
      <c r="FEC70" s="224"/>
      <c r="FED70" s="225"/>
      <c r="FEE70" s="226"/>
      <c r="FEF70" s="227"/>
      <c r="FEG70" s="228"/>
      <c r="FEH70" s="228"/>
      <c r="FEI70" s="228"/>
      <c r="FEJ70" s="228"/>
      <c r="FEK70" s="228"/>
      <c r="FEL70" s="228"/>
      <c r="FEM70" s="226"/>
      <c r="FEN70" s="226"/>
      <c r="FEO70" s="224"/>
      <c r="FEP70" s="225"/>
      <c r="FEQ70" s="226"/>
      <c r="FER70" s="227"/>
      <c r="FES70" s="228"/>
      <c r="FET70" s="228"/>
      <c r="FEU70" s="228"/>
      <c r="FEV70" s="228"/>
      <c r="FEW70" s="228"/>
      <c r="FEX70" s="228"/>
      <c r="FEY70" s="226"/>
      <c r="FEZ70" s="226"/>
      <c r="FFA70" s="224"/>
      <c r="FFB70" s="225"/>
      <c r="FFC70" s="226"/>
      <c r="FFD70" s="227"/>
      <c r="FFE70" s="228"/>
      <c r="FFF70" s="228"/>
      <c r="FFG70" s="228"/>
      <c r="FFH70" s="228"/>
      <c r="FFI70" s="228"/>
      <c r="FFJ70" s="228"/>
      <c r="FFK70" s="226"/>
      <c r="FFL70" s="226"/>
      <c r="FFM70" s="224"/>
      <c r="FFN70" s="225"/>
      <c r="FFO70" s="226"/>
      <c r="FFP70" s="227"/>
      <c r="FFQ70" s="228"/>
      <c r="FFR70" s="228"/>
      <c r="FFS70" s="228"/>
      <c r="FFT70" s="228"/>
      <c r="FFU70" s="228"/>
      <c r="FFV70" s="228"/>
      <c r="FFW70" s="226"/>
      <c r="FFX70" s="226"/>
      <c r="FFY70" s="224"/>
      <c r="FFZ70" s="225"/>
      <c r="FGA70" s="226"/>
      <c r="FGB70" s="227"/>
      <c r="FGC70" s="228"/>
      <c r="FGD70" s="228"/>
      <c r="FGE70" s="228"/>
      <c r="FGF70" s="228"/>
      <c r="FGG70" s="228"/>
      <c r="FGH70" s="228"/>
      <c r="FGI70" s="226"/>
      <c r="FGJ70" s="226"/>
      <c r="FGK70" s="224"/>
      <c r="FGL70" s="225"/>
      <c r="FGM70" s="226"/>
      <c r="FGN70" s="227"/>
      <c r="FGO70" s="228"/>
      <c r="FGP70" s="228"/>
      <c r="FGQ70" s="228"/>
      <c r="FGR70" s="228"/>
      <c r="FGS70" s="228"/>
      <c r="FGT70" s="228"/>
      <c r="FGU70" s="226"/>
      <c r="FGV70" s="226"/>
      <c r="FGW70" s="224"/>
      <c r="FGX70" s="225"/>
      <c r="FGY70" s="226"/>
      <c r="FGZ70" s="227"/>
      <c r="FHA70" s="228"/>
      <c r="FHB70" s="228"/>
      <c r="FHC70" s="228"/>
      <c r="FHD70" s="228"/>
      <c r="FHE70" s="228"/>
      <c r="FHF70" s="228"/>
      <c r="FHG70" s="226"/>
      <c r="FHH70" s="226"/>
      <c r="FHI70" s="224"/>
      <c r="FHJ70" s="225"/>
      <c r="FHK70" s="226"/>
      <c r="FHL70" s="227"/>
      <c r="FHM70" s="228"/>
      <c r="FHN70" s="228"/>
      <c r="FHO70" s="228"/>
      <c r="FHP70" s="228"/>
      <c r="FHQ70" s="228"/>
      <c r="FHR70" s="228"/>
      <c r="FHS70" s="226"/>
      <c r="FHT70" s="226"/>
      <c r="FHU70" s="224"/>
      <c r="FHV70" s="225"/>
      <c r="FHW70" s="226"/>
      <c r="FHX70" s="227"/>
      <c r="FHY70" s="228"/>
      <c r="FHZ70" s="228"/>
      <c r="FIA70" s="228"/>
      <c r="FIB70" s="228"/>
      <c r="FIC70" s="228"/>
      <c r="FID70" s="228"/>
      <c r="FIE70" s="226"/>
      <c r="FIF70" s="226"/>
      <c r="FIG70" s="224"/>
      <c r="FIH70" s="225"/>
      <c r="FII70" s="226"/>
      <c r="FIJ70" s="227"/>
      <c r="FIK70" s="228"/>
      <c r="FIL70" s="228"/>
      <c r="FIM70" s="228"/>
      <c r="FIN70" s="228"/>
      <c r="FIO70" s="228"/>
      <c r="FIP70" s="228"/>
      <c r="FIQ70" s="226"/>
      <c r="FIR70" s="226"/>
      <c r="FIS70" s="224"/>
      <c r="FIT70" s="225"/>
      <c r="FIU70" s="226"/>
      <c r="FIV70" s="227"/>
      <c r="FIW70" s="228"/>
      <c r="FIX70" s="228"/>
      <c r="FIY70" s="228"/>
      <c r="FIZ70" s="228"/>
      <c r="FJA70" s="228"/>
      <c r="FJB70" s="228"/>
      <c r="FJC70" s="226"/>
      <c r="FJD70" s="226"/>
      <c r="FJE70" s="224"/>
      <c r="FJF70" s="225"/>
      <c r="FJG70" s="226"/>
      <c r="FJH70" s="227"/>
      <c r="FJI70" s="228"/>
      <c r="FJJ70" s="228"/>
      <c r="FJK70" s="228"/>
      <c r="FJL70" s="228"/>
      <c r="FJM70" s="228"/>
      <c r="FJN70" s="228"/>
      <c r="FJO70" s="226"/>
      <c r="FJP70" s="226"/>
      <c r="FJQ70" s="224"/>
      <c r="FJR70" s="225"/>
      <c r="FJS70" s="226"/>
      <c r="FJT70" s="227"/>
      <c r="FJU70" s="228"/>
      <c r="FJV70" s="228"/>
      <c r="FJW70" s="228"/>
      <c r="FJX70" s="228"/>
      <c r="FJY70" s="228"/>
      <c r="FJZ70" s="228"/>
      <c r="FKA70" s="226"/>
      <c r="FKB70" s="226"/>
      <c r="FKC70" s="224"/>
      <c r="FKD70" s="225"/>
      <c r="FKE70" s="226"/>
      <c r="FKF70" s="227"/>
      <c r="FKG70" s="228"/>
      <c r="FKH70" s="228"/>
      <c r="FKI70" s="228"/>
      <c r="FKJ70" s="228"/>
      <c r="FKK70" s="228"/>
      <c r="FKL70" s="228"/>
      <c r="FKM70" s="226"/>
      <c r="FKN70" s="226"/>
      <c r="FKO70" s="224"/>
      <c r="FKP70" s="225"/>
      <c r="FKQ70" s="226"/>
      <c r="FKR70" s="227"/>
      <c r="FKS70" s="228"/>
      <c r="FKT70" s="228"/>
      <c r="FKU70" s="228"/>
      <c r="FKV70" s="228"/>
      <c r="FKW70" s="228"/>
      <c r="FKX70" s="228"/>
      <c r="FKY70" s="226"/>
      <c r="FKZ70" s="226"/>
      <c r="FLA70" s="224"/>
      <c r="FLB70" s="225"/>
      <c r="FLC70" s="226"/>
      <c r="FLD70" s="227"/>
      <c r="FLE70" s="228"/>
      <c r="FLF70" s="228"/>
      <c r="FLG70" s="228"/>
      <c r="FLH70" s="228"/>
      <c r="FLI70" s="228"/>
      <c r="FLJ70" s="228"/>
      <c r="FLK70" s="226"/>
      <c r="FLL70" s="226"/>
      <c r="FLM70" s="224"/>
      <c r="FLN70" s="225"/>
      <c r="FLO70" s="226"/>
      <c r="FLP70" s="227"/>
      <c r="FLQ70" s="228"/>
      <c r="FLR70" s="228"/>
      <c r="FLS70" s="228"/>
      <c r="FLT70" s="228"/>
      <c r="FLU70" s="228"/>
      <c r="FLV70" s="228"/>
      <c r="FLW70" s="226"/>
      <c r="FLX70" s="226"/>
      <c r="FLY70" s="224"/>
      <c r="FLZ70" s="225"/>
      <c r="FMA70" s="226"/>
      <c r="FMB70" s="227"/>
      <c r="FMC70" s="228"/>
      <c r="FMD70" s="228"/>
      <c r="FME70" s="228"/>
      <c r="FMF70" s="228"/>
      <c r="FMG70" s="228"/>
      <c r="FMH70" s="228"/>
      <c r="FMI70" s="226"/>
      <c r="FMJ70" s="226"/>
      <c r="FMK70" s="224"/>
      <c r="FML70" s="225"/>
      <c r="FMM70" s="226"/>
      <c r="FMN70" s="227"/>
      <c r="FMO70" s="228"/>
      <c r="FMP70" s="228"/>
      <c r="FMQ70" s="228"/>
      <c r="FMR70" s="228"/>
      <c r="FMS70" s="228"/>
      <c r="FMT70" s="228"/>
      <c r="FMU70" s="226"/>
      <c r="FMV70" s="226"/>
      <c r="FMW70" s="224"/>
      <c r="FMX70" s="225"/>
      <c r="FMY70" s="226"/>
      <c r="FMZ70" s="227"/>
      <c r="FNA70" s="228"/>
      <c r="FNB70" s="228"/>
      <c r="FNC70" s="228"/>
      <c r="FND70" s="228"/>
      <c r="FNE70" s="228"/>
      <c r="FNF70" s="228"/>
      <c r="FNG70" s="226"/>
      <c r="FNH70" s="226"/>
      <c r="FNI70" s="224"/>
      <c r="FNJ70" s="225"/>
      <c r="FNK70" s="226"/>
      <c r="FNL70" s="227"/>
      <c r="FNM70" s="228"/>
      <c r="FNN70" s="228"/>
      <c r="FNO70" s="228"/>
      <c r="FNP70" s="228"/>
      <c r="FNQ70" s="228"/>
      <c r="FNR70" s="228"/>
      <c r="FNS70" s="226"/>
      <c r="FNT70" s="226"/>
      <c r="FNU70" s="224"/>
      <c r="FNV70" s="225"/>
      <c r="FNW70" s="226"/>
      <c r="FNX70" s="227"/>
      <c r="FNY70" s="228"/>
      <c r="FNZ70" s="228"/>
      <c r="FOA70" s="228"/>
      <c r="FOB70" s="228"/>
      <c r="FOC70" s="228"/>
      <c r="FOD70" s="228"/>
      <c r="FOE70" s="226"/>
      <c r="FOF70" s="226"/>
      <c r="FOG70" s="224"/>
      <c r="FOH70" s="225"/>
      <c r="FOI70" s="226"/>
      <c r="FOJ70" s="227"/>
      <c r="FOK70" s="228"/>
      <c r="FOL70" s="228"/>
      <c r="FOM70" s="228"/>
      <c r="FON70" s="228"/>
      <c r="FOO70" s="228"/>
      <c r="FOP70" s="228"/>
      <c r="FOQ70" s="226"/>
      <c r="FOR70" s="226"/>
      <c r="FOS70" s="224"/>
      <c r="FOT70" s="225"/>
      <c r="FOU70" s="226"/>
      <c r="FOV70" s="227"/>
      <c r="FOW70" s="228"/>
      <c r="FOX70" s="228"/>
      <c r="FOY70" s="228"/>
      <c r="FOZ70" s="228"/>
      <c r="FPA70" s="228"/>
      <c r="FPB70" s="228"/>
      <c r="FPC70" s="226"/>
      <c r="FPD70" s="226"/>
      <c r="FPE70" s="224"/>
      <c r="FPF70" s="225"/>
      <c r="FPG70" s="226"/>
      <c r="FPH70" s="227"/>
      <c r="FPI70" s="228"/>
      <c r="FPJ70" s="228"/>
      <c r="FPK70" s="228"/>
      <c r="FPL70" s="228"/>
      <c r="FPM70" s="228"/>
      <c r="FPN70" s="228"/>
      <c r="FPO70" s="226"/>
      <c r="FPP70" s="226"/>
      <c r="FPQ70" s="224"/>
      <c r="FPR70" s="225"/>
      <c r="FPS70" s="226"/>
      <c r="FPT70" s="227"/>
      <c r="FPU70" s="228"/>
      <c r="FPV70" s="228"/>
      <c r="FPW70" s="228"/>
      <c r="FPX70" s="228"/>
      <c r="FPY70" s="228"/>
      <c r="FPZ70" s="228"/>
      <c r="FQA70" s="226"/>
      <c r="FQB70" s="226"/>
      <c r="FQC70" s="224"/>
      <c r="FQD70" s="225"/>
      <c r="FQE70" s="226"/>
      <c r="FQF70" s="227"/>
      <c r="FQG70" s="228"/>
      <c r="FQH70" s="228"/>
      <c r="FQI70" s="228"/>
      <c r="FQJ70" s="228"/>
      <c r="FQK70" s="228"/>
      <c r="FQL70" s="228"/>
      <c r="FQM70" s="226"/>
      <c r="FQN70" s="226"/>
      <c r="FQO70" s="224"/>
      <c r="FQP70" s="225"/>
      <c r="FQQ70" s="226"/>
      <c r="FQR70" s="227"/>
      <c r="FQS70" s="228"/>
      <c r="FQT70" s="228"/>
      <c r="FQU70" s="228"/>
      <c r="FQV70" s="228"/>
      <c r="FQW70" s="228"/>
      <c r="FQX70" s="228"/>
      <c r="FQY70" s="226"/>
      <c r="FQZ70" s="226"/>
      <c r="FRA70" s="224"/>
      <c r="FRB70" s="225"/>
      <c r="FRC70" s="226"/>
      <c r="FRD70" s="227"/>
      <c r="FRE70" s="228"/>
      <c r="FRF70" s="228"/>
      <c r="FRG70" s="228"/>
      <c r="FRH70" s="228"/>
      <c r="FRI70" s="228"/>
      <c r="FRJ70" s="228"/>
      <c r="FRK70" s="226"/>
      <c r="FRL70" s="226"/>
      <c r="FRM70" s="224"/>
      <c r="FRN70" s="225"/>
      <c r="FRO70" s="226"/>
      <c r="FRP70" s="227"/>
      <c r="FRQ70" s="228"/>
      <c r="FRR70" s="228"/>
      <c r="FRS70" s="228"/>
      <c r="FRT70" s="228"/>
      <c r="FRU70" s="228"/>
      <c r="FRV70" s="228"/>
      <c r="FRW70" s="226"/>
      <c r="FRX70" s="226"/>
      <c r="FRY70" s="224"/>
      <c r="FRZ70" s="225"/>
      <c r="FSA70" s="226"/>
      <c r="FSB70" s="227"/>
      <c r="FSC70" s="228"/>
      <c r="FSD70" s="228"/>
      <c r="FSE70" s="228"/>
      <c r="FSF70" s="228"/>
      <c r="FSG70" s="228"/>
      <c r="FSH70" s="228"/>
      <c r="FSI70" s="226"/>
      <c r="FSJ70" s="226"/>
      <c r="FSK70" s="224"/>
      <c r="FSL70" s="225"/>
      <c r="FSM70" s="226"/>
      <c r="FSN70" s="227"/>
      <c r="FSO70" s="228"/>
      <c r="FSP70" s="228"/>
      <c r="FSQ70" s="228"/>
      <c r="FSR70" s="228"/>
      <c r="FSS70" s="228"/>
      <c r="FST70" s="228"/>
      <c r="FSU70" s="226"/>
      <c r="FSV70" s="226"/>
      <c r="FSW70" s="224"/>
      <c r="FSX70" s="225"/>
      <c r="FSY70" s="226"/>
      <c r="FSZ70" s="227"/>
      <c r="FTA70" s="228"/>
      <c r="FTB70" s="228"/>
      <c r="FTC70" s="228"/>
      <c r="FTD70" s="228"/>
      <c r="FTE70" s="228"/>
      <c r="FTF70" s="228"/>
      <c r="FTG70" s="226"/>
      <c r="FTH70" s="226"/>
      <c r="FTI70" s="224"/>
      <c r="FTJ70" s="225"/>
      <c r="FTK70" s="226"/>
      <c r="FTL70" s="227"/>
      <c r="FTM70" s="228"/>
      <c r="FTN70" s="228"/>
      <c r="FTO70" s="228"/>
      <c r="FTP70" s="228"/>
      <c r="FTQ70" s="228"/>
      <c r="FTR70" s="228"/>
      <c r="FTS70" s="226"/>
      <c r="FTT70" s="226"/>
      <c r="FTU70" s="224"/>
      <c r="FTV70" s="225"/>
      <c r="FTW70" s="226"/>
      <c r="FTX70" s="227"/>
      <c r="FTY70" s="228"/>
      <c r="FTZ70" s="228"/>
      <c r="FUA70" s="228"/>
      <c r="FUB70" s="228"/>
      <c r="FUC70" s="228"/>
      <c r="FUD70" s="228"/>
      <c r="FUE70" s="226"/>
      <c r="FUF70" s="226"/>
      <c r="FUG70" s="224"/>
      <c r="FUH70" s="225"/>
      <c r="FUI70" s="226"/>
      <c r="FUJ70" s="227"/>
      <c r="FUK70" s="228"/>
      <c r="FUL70" s="228"/>
      <c r="FUM70" s="228"/>
      <c r="FUN70" s="228"/>
      <c r="FUO70" s="228"/>
      <c r="FUP70" s="228"/>
      <c r="FUQ70" s="226"/>
      <c r="FUR70" s="226"/>
      <c r="FUS70" s="224"/>
      <c r="FUT70" s="225"/>
      <c r="FUU70" s="226"/>
      <c r="FUV70" s="227"/>
      <c r="FUW70" s="228"/>
      <c r="FUX70" s="228"/>
      <c r="FUY70" s="228"/>
      <c r="FUZ70" s="228"/>
      <c r="FVA70" s="228"/>
      <c r="FVB70" s="228"/>
      <c r="FVC70" s="226"/>
      <c r="FVD70" s="226"/>
      <c r="FVE70" s="224"/>
      <c r="FVF70" s="225"/>
      <c r="FVG70" s="226"/>
      <c r="FVH70" s="227"/>
      <c r="FVI70" s="228"/>
      <c r="FVJ70" s="228"/>
      <c r="FVK70" s="228"/>
      <c r="FVL70" s="228"/>
      <c r="FVM70" s="228"/>
      <c r="FVN70" s="228"/>
      <c r="FVO70" s="226"/>
      <c r="FVP70" s="226"/>
      <c r="FVQ70" s="224"/>
      <c r="FVR70" s="225"/>
      <c r="FVS70" s="226"/>
      <c r="FVT70" s="227"/>
      <c r="FVU70" s="228"/>
      <c r="FVV70" s="228"/>
      <c r="FVW70" s="228"/>
      <c r="FVX70" s="228"/>
      <c r="FVY70" s="228"/>
      <c r="FVZ70" s="228"/>
      <c r="FWA70" s="226"/>
      <c r="FWB70" s="226"/>
      <c r="FWC70" s="224"/>
      <c r="FWD70" s="225"/>
      <c r="FWE70" s="226"/>
      <c r="FWF70" s="227"/>
      <c r="FWG70" s="228"/>
      <c r="FWH70" s="228"/>
      <c r="FWI70" s="228"/>
      <c r="FWJ70" s="228"/>
      <c r="FWK70" s="228"/>
      <c r="FWL70" s="228"/>
      <c r="FWM70" s="226"/>
      <c r="FWN70" s="226"/>
      <c r="FWO70" s="224"/>
      <c r="FWP70" s="225"/>
      <c r="FWQ70" s="226"/>
      <c r="FWR70" s="227"/>
      <c r="FWS70" s="228"/>
      <c r="FWT70" s="228"/>
      <c r="FWU70" s="228"/>
      <c r="FWV70" s="228"/>
      <c r="FWW70" s="228"/>
      <c r="FWX70" s="228"/>
      <c r="FWY70" s="226"/>
      <c r="FWZ70" s="226"/>
      <c r="FXA70" s="224"/>
      <c r="FXB70" s="225"/>
      <c r="FXC70" s="226"/>
      <c r="FXD70" s="227"/>
      <c r="FXE70" s="228"/>
      <c r="FXF70" s="228"/>
      <c r="FXG70" s="228"/>
      <c r="FXH70" s="228"/>
      <c r="FXI70" s="228"/>
      <c r="FXJ70" s="228"/>
      <c r="FXK70" s="226"/>
      <c r="FXL70" s="226"/>
      <c r="FXM70" s="224"/>
      <c r="FXN70" s="225"/>
      <c r="FXO70" s="226"/>
      <c r="FXP70" s="227"/>
      <c r="FXQ70" s="228"/>
      <c r="FXR70" s="228"/>
      <c r="FXS70" s="228"/>
      <c r="FXT70" s="228"/>
      <c r="FXU70" s="228"/>
      <c r="FXV70" s="228"/>
      <c r="FXW70" s="226"/>
      <c r="FXX70" s="226"/>
      <c r="FXY70" s="224"/>
      <c r="FXZ70" s="225"/>
      <c r="FYA70" s="226"/>
      <c r="FYB70" s="227"/>
      <c r="FYC70" s="228"/>
      <c r="FYD70" s="228"/>
      <c r="FYE70" s="228"/>
      <c r="FYF70" s="228"/>
      <c r="FYG70" s="228"/>
      <c r="FYH70" s="228"/>
      <c r="FYI70" s="226"/>
      <c r="FYJ70" s="226"/>
      <c r="FYK70" s="224"/>
      <c r="FYL70" s="225"/>
      <c r="FYM70" s="226"/>
      <c r="FYN70" s="227"/>
      <c r="FYO70" s="228"/>
      <c r="FYP70" s="228"/>
      <c r="FYQ70" s="228"/>
      <c r="FYR70" s="228"/>
      <c r="FYS70" s="228"/>
      <c r="FYT70" s="228"/>
      <c r="FYU70" s="226"/>
      <c r="FYV70" s="226"/>
      <c r="FYW70" s="224"/>
      <c r="FYX70" s="225"/>
      <c r="FYY70" s="226"/>
      <c r="FYZ70" s="227"/>
      <c r="FZA70" s="228"/>
      <c r="FZB70" s="228"/>
      <c r="FZC70" s="228"/>
      <c r="FZD70" s="228"/>
      <c r="FZE70" s="228"/>
      <c r="FZF70" s="228"/>
      <c r="FZG70" s="226"/>
      <c r="FZH70" s="226"/>
      <c r="FZI70" s="224"/>
      <c r="FZJ70" s="225"/>
      <c r="FZK70" s="226"/>
      <c r="FZL70" s="227"/>
      <c r="FZM70" s="228"/>
      <c r="FZN70" s="228"/>
      <c r="FZO70" s="228"/>
      <c r="FZP70" s="228"/>
      <c r="FZQ70" s="228"/>
      <c r="FZR70" s="228"/>
      <c r="FZS70" s="226"/>
      <c r="FZT70" s="226"/>
      <c r="FZU70" s="224"/>
      <c r="FZV70" s="225"/>
      <c r="FZW70" s="226"/>
      <c r="FZX70" s="227"/>
      <c r="FZY70" s="228"/>
      <c r="FZZ70" s="228"/>
      <c r="GAA70" s="228"/>
      <c r="GAB70" s="228"/>
      <c r="GAC70" s="228"/>
      <c r="GAD70" s="228"/>
      <c r="GAE70" s="226"/>
      <c r="GAF70" s="226"/>
      <c r="GAG70" s="224"/>
      <c r="GAH70" s="225"/>
      <c r="GAI70" s="226"/>
      <c r="GAJ70" s="227"/>
      <c r="GAK70" s="228"/>
      <c r="GAL70" s="228"/>
      <c r="GAM70" s="228"/>
      <c r="GAN70" s="228"/>
      <c r="GAO70" s="228"/>
      <c r="GAP70" s="228"/>
      <c r="GAQ70" s="226"/>
      <c r="GAR70" s="226"/>
      <c r="GAS70" s="224"/>
      <c r="GAT70" s="225"/>
      <c r="GAU70" s="226"/>
      <c r="GAV70" s="227"/>
      <c r="GAW70" s="228"/>
      <c r="GAX70" s="228"/>
      <c r="GAY70" s="228"/>
      <c r="GAZ70" s="228"/>
      <c r="GBA70" s="228"/>
      <c r="GBB70" s="228"/>
      <c r="GBC70" s="226"/>
      <c r="GBD70" s="226"/>
      <c r="GBE70" s="224"/>
      <c r="GBF70" s="225"/>
      <c r="GBG70" s="226"/>
      <c r="GBH70" s="227"/>
      <c r="GBI70" s="228"/>
      <c r="GBJ70" s="228"/>
      <c r="GBK70" s="228"/>
      <c r="GBL70" s="228"/>
      <c r="GBM70" s="228"/>
      <c r="GBN70" s="228"/>
      <c r="GBO70" s="226"/>
      <c r="GBP70" s="226"/>
      <c r="GBQ70" s="224"/>
      <c r="GBR70" s="225"/>
      <c r="GBS70" s="226"/>
      <c r="GBT70" s="227"/>
      <c r="GBU70" s="228"/>
      <c r="GBV70" s="228"/>
      <c r="GBW70" s="228"/>
      <c r="GBX70" s="228"/>
      <c r="GBY70" s="228"/>
      <c r="GBZ70" s="228"/>
      <c r="GCA70" s="226"/>
      <c r="GCB70" s="226"/>
      <c r="GCC70" s="224"/>
      <c r="GCD70" s="225"/>
      <c r="GCE70" s="226"/>
      <c r="GCF70" s="227"/>
      <c r="GCG70" s="228"/>
      <c r="GCH70" s="228"/>
      <c r="GCI70" s="228"/>
      <c r="GCJ70" s="228"/>
      <c r="GCK70" s="228"/>
      <c r="GCL70" s="228"/>
      <c r="GCM70" s="226"/>
      <c r="GCN70" s="226"/>
      <c r="GCO70" s="224"/>
      <c r="GCP70" s="225"/>
      <c r="GCQ70" s="226"/>
      <c r="GCR70" s="227"/>
      <c r="GCS70" s="228"/>
      <c r="GCT70" s="228"/>
      <c r="GCU70" s="228"/>
      <c r="GCV70" s="228"/>
      <c r="GCW70" s="228"/>
      <c r="GCX70" s="228"/>
      <c r="GCY70" s="226"/>
      <c r="GCZ70" s="226"/>
      <c r="GDA70" s="224"/>
      <c r="GDB70" s="225"/>
      <c r="GDC70" s="226"/>
      <c r="GDD70" s="227"/>
      <c r="GDE70" s="228"/>
      <c r="GDF70" s="228"/>
      <c r="GDG70" s="228"/>
      <c r="GDH70" s="228"/>
      <c r="GDI70" s="228"/>
      <c r="GDJ70" s="228"/>
      <c r="GDK70" s="226"/>
      <c r="GDL70" s="226"/>
      <c r="GDM70" s="224"/>
      <c r="GDN70" s="225"/>
      <c r="GDO70" s="226"/>
      <c r="GDP70" s="227"/>
      <c r="GDQ70" s="228"/>
      <c r="GDR70" s="228"/>
      <c r="GDS70" s="228"/>
      <c r="GDT70" s="228"/>
      <c r="GDU70" s="228"/>
      <c r="GDV70" s="228"/>
      <c r="GDW70" s="226"/>
      <c r="GDX70" s="226"/>
      <c r="GDY70" s="224"/>
      <c r="GDZ70" s="225"/>
      <c r="GEA70" s="226"/>
      <c r="GEB70" s="227"/>
      <c r="GEC70" s="228"/>
      <c r="GED70" s="228"/>
      <c r="GEE70" s="228"/>
      <c r="GEF70" s="228"/>
      <c r="GEG70" s="228"/>
      <c r="GEH70" s="228"/>
      <c r="GEI70" s="226"/>
      <c r="GEJ70" s="226"/>
      <c r="GEK70" s="224"/>
      <c r="GEL70" s="225"/>
      <c r="GEM70" s="226"/>
      <c r="GEN70" s="227"/>
      <c r="GEO70" s="228"/>
      <c r="GEP70" s="228"/>
      <c r="GEQ70" s="228"/>
      <c r="GER70" s="228"/>
      <c r="GES70" s="228"/>
      <c r="GET70" s="228"/>
      <c r="GEU70" s="226"/>
      <c r="GEV70" s="226"/>
      <c r="GEW70" s="224"/>
      <c r="GEX70" s="225"/>
      <c r="GEY70" s="226"/>
      <c r="GEZ70" s="227"/>
      <c r="GFA70" s="228"/>
      <c r="GFB70" s="228"/>
      <c r="GFC70" s="228"/>
      <c r="GFD70" s="228"/>
      <c r="GFE70" s="228"/>
      <c r="GFF70" s="228"/>
      <c r="GFG70" s="226"/>
      <c r="GFH70" s="226"/>
      <c r="GFI70" s="224"/>
      <c r="GFJ70" s="225"/>
      <c r="GFK70" s="226"/>
      <c r="GFL70" s="227"/>
      <c r="GFM70" s="228"/>
      <c r="GFN70" s="228"/>
      <c r="GFO70" s="228"/>
      <c r="GFP70" s="228"/>
      <c r="GFQ70" s="228"/>
      <c r="GFR70" s="228"/>
      <c r="GFS70" s="226"/>
      <c r="GFT70" s="226"/>
      <c r="GFU70" s="224"/>
      <c r="GFV70" s="225"/>
      <c r="GFW70" s="226"/>
      <c r="GFX70" s="227"/>
      <c r="GFY70" s="228"/>
      <c r="GFZ70" s="228"/>
      <c r="GGA70" s="228"/>
      <c r="GGB70" s="228"/>
      <c r="GGC70" s="228"/>
      <c r="GGD70" s="228"/>
      <c r="GGE70" s="226"/>
      <c r="GGF70" s="226"/>
      <c r="GGG70" s="224"/>
      <c r="GGH70" s="225"/>
      <c r="GGI70" s="226"/>
      <c r="GGJ70" s="227"/>
      <c r="GGK70" s="228"/>
      <c r="GGL70" s="228"/>
      <c r="GGM70" s="228"/>
      <c r="GGN70" s="228"/>
      <c r="GGO70" s="228"/>
      <c r="GGP70" s="228"/>
      <c r="GGQ70" s="226"/>
      <c r="GGR70" s="226"/>
      <c r="GGS70" s="224"/>
      <c r="GGT70" s="225"/>
      <c r="GGU70" s="226"/>
      <c r="GGV70" s="227"/>
      <c r="GGW70" s="228"/>
      <c r="GGX70" s="228"/>
      <c r="GGY70" s="228"/>
      <c r="GGZ70" s="228"/>
      <c r="GHA70" s="228"/>
      <c r="GHB70" s="228"/>
      <c r="GHC70" s="226"/>
      <c r="GHD70" s="226"/>
      <c r="GHE70" s="224"/>
      <c r="GHF70" s="225"/>
      <c r="GHG70" s="226"/>
      <c r="GHH70" s="227"/>
      <c r="GHI70" s="228"/>
      <c r="GHJ70" s="228"/>
      <c r="GHK70" s="228"/>
      <c r="GHL70" s="228"/>
      <c r="GHM70" s="228"/>
      <c r="GHN70" s="228"/>
      <c r="GHO70" s="226"/>
      <c r="GHP70" s="226"/>
      <c r="GHQ70" s="224"/>
      <c r="GHR70" s="225"/>
      <c r="GHS70" s="226"/>
      <c r="GHT70" s="227"/>
      <c r="GHU70" s="228"/>
      <c r="GHV70" s="228"/>
      <c r="GHW70" s="228"/>
      <c r="GHX70" s="228"/>
      <c r="GHY70" s="228"/>
      <c r="GHZ70" s="228"/>
      <c r="GIA70" s="226"/>
      <c r="GIB70" s="226"/>
      <c r="GIC70" s="224"/>
      <c r="GID70" s="225"/>
      <c r="GIE70" s="226"/>
      <c r="GIF70" s="227"/>
      <c r="GIG70" s="228"/>
      <c r="GIH70" s="228"/>
      <c r="GII70" s="228"/>
      <c r="GIJ70" s="228"/>
      <c r="GIK70" s="228"/>
      <c r="GIL70" s="228"/>
      <c r="GIM70" s="226"/>
      <c r="GIN70" s="226"/>
      <c r="GIO70" s="224"/>
      <c r="GIP70" s="225"/>
      <c r="GIQ70" s="226"/>
      <c r="GIR70" s="227"/>
      <c r="GIS70" s="228"/>
      <c r="GIT70" s="228"/>
      <c r="GIU70" s="228"/>
      <c r="GIV70" s="228"/>
      <c r="GIW70" s="228"/>
      <c r="GIX70" s="228"/>
      <c r="GIY70" s="226"/>
      <c r="GIZ70" s="226"/>
      <c r="GJA70" s="224"/>
      <c r="GJB70" s="225"/>
      <c r="GJC70" s="226"/>
      <c r="GJD70" s="227"/>
      <c r="GJE70" s="228"/>
      <c r="GJF70" s="228"/>
      <c r="GJG70" s="228"/>
      <c r="GJH70" s="228"/>
      <c r="GJI70" s="228"/>
      <c r="GJJ70" s="228"/>
      <c r="GJK70" s="226"/>
      <c r="GJL70" s="226"/>
      <c r="GJM70" s="224"/>
      <c r="GJN70" s="225"/>
      <c r="GJO70" s="226"/>
      <c r="GJP70" s="227"/>
      <c r="GJQ70" s="228"/>
      <c r="GJR70" s="228"/>
      <c r="GJS70" s="228"/>
      <c r="GJT70" s="228"/>
      <c r="GJU70" s="228"/>
      <c r="GJV70" s="228"/>
      <c r="GJW70" s="226"/>
      <c r="GJX70" s="226"/>
      <c r="GJY70" s="224"/>
      <c r="GJZ70" s="225"/>
      <c r="GKA70" s="226"/>
      <c r="GKB70" s="227"/>
      <c r="GKC70" s="228"/>
      <c r="GKD70" s="228"/>
      <c r="GKE70" s="228"/>
      <c r="GKF70" s="228"/>
      <c r="GKG70" s="228"/>
      <c r="GKH70" s="228"/>
      <c r="GKI70" s="226"/>
      <c r="GKJ70" s="226"/>
      <c r="GKK70" s="224"/>
      <c r="GKL70" s="225"/>
      <c r="GKM70" s="226"/>
      <c r="GKN70" s="227"/>
      <c r="GKO70" s="228"/>
      <c r="GKP70" s="228"/>
      <c r="GKQ70" s="228"/>
      <c r="GKR70" s="228"/>
      <c r="GKS70" s="228"/>
      <c r="GKT70" s="228"/>
      <c r="GKU70" s="226"/>
      <c r="GKV70" s="226"/>
      <c r="GKW70" s="224"/>
      <c r="GKX70" s="225"/>
      <c r="GKY70" s="226"/>
      <c r="GKZ70" s="227"/>
      <c r="GLA70" s="228"/>
      <c r="GLB70" s="228"/>
      <c r="GLC70" s="228"/>
      <c r="GLD70" s="228"/>
      <c r="GLE70" s="228"/>
      <c r="GLF70" s="228"/>
      <c r="GLG70" s="226"/>
      <c r="GLH70" s="226"/>
      <c r="GLI70" s="224"/>
      <c r="GLJ70" s="225"/>
      <c r="GLK70" s="226"/>
      <c r="GLL70" s="227"/>
      <c r="GLM70" s="228"/>
      <c r="GLN70" s="228"/>
      <c r="GLO70" s="228"/>
      <c r="GLP70" s="228"/>
      <c r="GLQ70" s="228"/>
      <c r="GLR70" s="228"/>
      <c r="GLS70" s="226"/>
      <c r="GLT70" s="226"/>
      <c r="GLU70" s="224"/>
      <c r="GLV70" s="225"/>
      <c r="GLW70" s="226"/>
      <c r="GLX70" s="227"/>
      <c r="GLY70" s="228"/>
      <c r="GLZ70" s="228"/>
      <c r="GMA70" s="228"/>
      <c r="GMB70" s="228"/>
      <c r="GMC70" s="228"/>
      <c r="GMD70" s="228"/>
      <c r="GME70" s="226"/>
      <c r="GMF70" s="226"/>
      <c r="GMG70" s="224"/>
      <c r="GMH70" s="225"/>
      <c r="GMI70" s="226"/>
      <c r="GMJ70" s="227"/>
      <c r="GMK70" s="228"/>
      <c r="GML70" s="228"/>
      <c r="GMM70" s="228"/>
      <c r="GMN70" s="228"/>
      <c r="GMO70" s="228"/>
      <c r="GMP70" s="228"/>
      <c r="GMQ70" s="226"/>
      <c r="GMR70" s="226"/>
      <c r="GMS70" s="224"/>
      <c r="GMT70" s="225"/>
      <c r="GMU70" s="226"/>
      <c r="GMV70" s="227"/>
      <c r="GMW70" s="228"/>
      <c r="GMX70" s="228"/>
      <c r="GMY70" s="228"/>
      <c r="GMZ70" s="228"/>
      <c r="GNA70" s="228"/>
      <c r="GNB70" s="228"/>
      <c r="GNC70" s="226"/>
      <c r="GND70" s="226"/>
      <c r="GNE70" s="224"/>
      <c r="GNF70" s="225"/>
      <c r="GNG70" s="226"/>
      <c r="GNH70" s="227"/>
      <c r="GNI70" s="228"/>
      <c r="GNJ70" s="228"/>
      <c r="GNK70" s="228"/>
      <c r="GNL70" s="228"/>
      <c r="GNM70" s="228"/>
      <c r="GNN70" s="228"/>
      <c r="GNO70" s="226"/>
      <c r="GNP70" s="226"/>
      <c r="GNQ70" s="224"/>
      <c r="GNR70" s="225"/>
      <c r="GNS70" s="226"/>
      <c r="GNT70" s="227"/>
      <c r="GNU70" s="228"/>
      <c r="GNV70" s="228"/>
      <c r="GNW70" s="228"/>
      <c r="GNX70" s="228"/>
      <c r="GNY70" s="228"/>
      <c r="GNZ70" s="228"/>
      <c r="GOA70" s="226"/>
      <c r="GOB70" s="226"/>
      <c r="GOC70" s="224"/>
      <c r="GOD70" s="225"/>
      <c r="GOE70" s="226"/>
      <c r="GOF70" s="227"/>
      <c r="GOG70" s="228"/>
      <c r="GOH70" s="228"/>
      <c r="GOI70" s="228"/>
      <c r="GOJ70" s="228"/>
      <c r="GOK70" s="228"/>
      <c r="GOL70" s="228"/>
      <c r="GOM70" s="226"/>
      <c r="GON70" s="226"/>
      <c r="GOO70" s="224"/>
      <c r="GOP70" s="225"/>
      <c r="GOQ70" s="226"/>
      <c r="GOR70" s="227"/>
      <c r="GOS70" s="228"/>
      <c r="GOT70" s="228"/>
      <c r="GOU70" s="228"/>
      <c r="GOV70" s="228"/>
      <c r="GOW70" s="228"/>
      <c r="GOX70" s="228"/>
      <c r="GOY70" s="226"/>
      <c r="GOZ70" s="226"/>
      <c r="GPA70" s="224"/>
      <c r="GPB70" s="225"/>
      <c r="GPC70" s="226"/>
      <c r="GPD70" s="227"/>
      <c r="GPE70" s="228"/>
      <c r="GPF70" s="228"/>
      <c r="GPG70" s="228"/>
      <c r="GPH70" s="228"/>
      <c r="GPI70" s="228"/>
      <c r="GPJ70" s="228"/>
      <c r="GPK70" s="226"/>
      <c r="GPL70" s="226"/>
      <c r="GPM70" s="224"/>
      <c r="GPN70" s="225"/>
      <c r="GPO70" s="226"/>
      <c r="GPP70" s="227"/>
      <c r="GPQ70" s="228"/>
      <c r="GPR70" s="228"/>
      <c r="GPS70" s="228"/>
      <c r="GPT70" s="228"/>
      <c r="GPU70" s="228"/>
      <c r="GPV70" s="228"/>
      <c r="GPW70" s="226"/>
      <c r="GPX70" s="226"/>
      <c r="GPY70" s="224"/>
      <c r="GPZ70" s="225"/>
      <c r="GQA70" s="226"/>
      <c r="GQB70" s="227"/>
      <c r="GQC70" s="228"/>
      <c r="GQD70" s="228"/>
      <c r="GQE70" s="228"/>
      <c r="GQF70" s="228"/>
      <c r="GQG70" s="228"/>
      <c r="GQH70" s="228"/>
      <c r="GQI70" s="226"/>
      <c r="GQJ70" s="226"/>
      <c r="GQK70" s="224"/>
      <c r="GQL70" s="225"/>
      <c r="GQM70" s="226"/>
      <c r="GQN70" s="227"/>
      <c r="GQO70" s="228"/>
      <c r="GQP70" s="228"/>
      <c r="GQQ70" s="228"/>
      <c r="GQR70" s="228"/>
      <c r="GQS70" s="228"/>
      <c r="GQT70" s="228"/>
      <c r="GQU70" s="226"/>
      <c r="GQV70" s="226"/>
      <c r="GQW70" s="224"/>
      <c r="GQX70" s="225"/>
      <c r="GQY70" s="226"/>
      <c r="GQZ70" s="227"/>
      <c r="GRA70" s="228"/>
      <c r="GRB70" s="228"/>
      <c r="GRC70" s="228"/>
      <c r="GRD70" s="228"/>
      <c r="GRE70" s="228"/>
      <c r="GRF70" s="228"/>
      <c r="GRG70" s="226"/>
      <c r="GRH70" s="226"/>
      <c r="GRI70" s="224"/>
      <c r="GRJ70" s="225"/>
      <c r="GRK70" s="226"/>
      <c r="GRL70" s="227"/>
      <c r="GRM70" s="228"/>
      <c r="GRN70" s="228"/>
      <c r="GRO70" s="228"/>
      <c r="GRP70" s="228"/>
      <c r="GRQ70" s="228"/>
      <c r="GRR70" s="228"/>
      <c r="GRS70" s="226"/>
      <c r="GRT70" s="226"/>
      <c r="GRU70" s="224"/>
      <c r="GRV70" s="225"/>
      <c r="GRW70" s="226"/>
      <c r="GRX70" s="227"/>
      <c r="GRY70" s="228"/>
      <c r="GRZ70" s="228"/>
      <c r="GSA70" s="228"/>
      <c r="GSB70" s="228"/>
      <c r="GSC70" s="228"/>
      <c r="GSD70" s="228"/>
      <c r="GSE70" s="226"/>
      <c r="GSF70" s="226"/>
      <c r="GSG70" s="224"/>
      <c r="GSH70" s="225"/>
      <c r="GSI70" s="226"/>
      <c r="GSJ70" s="227"/>
      <c r="GSK70" s="228"/>
      <c r="GSL70" s="228"/>
      <c r="GSM70" s="228"/>
      <c r="GSN70" s="228"/>
      <c r="GSO70" s="228"/>
      <c r="GSP70" s="228"/>
      <c r="GSQ70" s="226"/>
      <c r="GSR70" s="226"/>
      <c r="GSS70" s="224"/>
      <c r="GST70" s="225"/>
      <c r="GSU70" s="226"/>
      <c r="GSV70" s="227"/>
      <c r="GSW70" s="228"/>
      <c r="GSX70" s="228"/>
      <c r="GSY70" s="228"/>
      <c r="GSZ70" s="228"/>
      <c r="GTA70" s="228"/>
      <c r="GTB70" s="228"/>
      <c r="GTC70" s="226"/>
      <c r="GTD70" s="226"/>
      <c r="GTE70" s="224"/>
      <c r="GTF70" s="225"/>
      <c r="GTG70" s="226"/>
      <c r="GTH70" s="227"/>
      <c r="GTI70" s="228"/>
      <c r="GTJ70" s="228"/>
      <c r="GTK70" s="228"/>
      <c r="GTL70" s="228"/>
      <c r="GTM70" s="228"/>
      <c r="GTN70" s="228"/>
      <c r="GTO70" s="226"/>
      <c r="GTP70" s="226"/>
      <c r="GTQ70" s="224"/>
      <c r="GTR70" s="225"/>
      <c r="GTS70" s="226"/>
      <c r="GTT70" s="227"/>
      <c r="GTU70" s="228"/>
      <c r="GTV70" s="228"/>
      <c r="GTW70" s="228"/>
      <c r="GTX70" s="228"/>
      <c r="GTY70" s="228"/>
      <c r="GTZ70" s="228"/>
      <c r="GUA70" s="226"/>
      <c r="GUB70" s="226"/>
      <c r="GUC70" s="224"/>
      <c r="GUD70" s="225"/>
      <c r="GUE70" s="226"/>
      <c r="GUF70" s="227"/>
      <c r="GUG70" s="228"/>
      <c r="GUH70" s="228"/>
      <c r="GUI70" s="228"/>
      <c r="GUJ70" s="228"/>
      <c r="GUK70" s="228"/>
      <c r="GUL70" s="228"/>
      <c r="GUM70" s="226"/>
      <c r="GUN70" s="226"/>
      <c r="GUO70" s="224"/>
      <c r="GUP70" s="225"/>
      <c r="GUQ70" s="226"/>
      <c r="GUR70" s="227"/>
      <c r="GUS70" s="228"/>
      <c r="GUT70" s="228"/>
      <c r="GUU70" s="228"/>
      <c r="GUV70" s="228"/>
      <c r="GUW70" s="228"/>
      <c r="GUX70" s="228"/>
      <c r="GUY70" s="226"/>
      <c r="GUZ70" s="226"/>
      <c r="GVA70" s="224"/>
      <c r="GVB70" s="225"/>
      <c r="GVC70" s="226"/>
      <c r="GVD70" s="227"/>
      <c r="GVE70" s="228"/>
      <c r="GVF70" s="228"/>
      <c r="GVG70" s="228"/>
      <c r="GVH70" s="228"/>
      <c r="GVI70" s="228"/>
      <c r="GVJ70" s="228"/>
      <c r="GVK70" s="226"/>
      <c r="GVL70" s="226"/>
      <c r="GVM70" s="224"/>
      <c r="GVN70" s="225"/>
      <c r="GVO70" s="226"/>
      <c r="GVP70" s="227"/>
      <c r="GVQ70" s="228"/>
      <c r="GVR70" s="228"/>
      <c r="GVS70" s="228"/>
      <c r="GVT70" s="228"/>
      <c r="GVU70" s="228"/>
      <c r="GVV70" s="228"/>
      <c r="GVW70" s="226"/>
      <c r="GVX70" s="226"/>
      <c r="GVY70" s="224"/>
      <c r="GVZ70" s="225"/>
      <c r="GWA70" s="226"/>
      <c r="GWB70" s="227"/>
      <c r="GWC70" s="228"/>
      <c r="GWD70" s="228"/>
      <c r="GWE70" s="228"/>
      <c r="GWF70" s="228"/>
      <c r="GWG70" s="228"/>
      <c r="GWH70" s="228"/>
      <c r="GWI70" s="226"/>
      <c r="GWJ70" s="226"/>
      <c r="GWK70" s="224"/>
      <c r="GWL70" s="225"/>
      <c r="GWM70" s="226"/>
      <c r="GWN70" s="227"/>
      <c r="GWO70" s="228"/>
      <c r="GWP70" s="228"/>
      <c r="GWQ70" s="228"/>
      <c r="GWR70" s="228"/>
      <c r="GWS70" s="228"/>
      <c r="GWT70" s="228"/>
      <c r="GWU70" s="226"/>
      <c r="GWV70" s="226"/>
      <c r="GWW70" s="224"/>
      <c r="GWX70" s="225"/>
      <c r="GWY70" s="226"/>
      <c r="GWZ70" s="227"/>
      <c r="GXA70" s="228"/>
      <c r="GXB70" s="228"/>
      <c r="GXC70" s="228"/>
      <c r="GXD70" s="228"/>
      <c r="GXE70" s="228"/>
      <c r="GXF70" s="228"/>
      <c r="GXG70" s="226"/>
      <c r="GXH70" s="226"/>
      <c r="GXI70" s="224"/>
      <c r="GXJ70" s="225"/>
      <c r="GXK70" s="226"/>
      <c r="GXL70" s="227"/>
      <c r="GXM70" s="228"/>
      <c r="GXN70" s="228"/>
      <c r="GXO70" s="228"/>
      <c r="GXP70" s="228"/>
      <c r="GXQ70" s="228"/>
      <c r="GXR70" s="228"/>
      <c r="GXS70" s="226"/>
      <c r="GXT70" s="226"/>
      <c r="GXU70" s="224"/>
      <c r="GXV70" s="225"/>
      <c r="GXW70" s="226"/>
      <c r="GXX70" s="227"/>
      <c r="GXY70" s="228"/>
      <c r="GXZ70" s="228"/>
      <c r="GYA70" s="228"/>
      <c r="GYB70" s="228"/>
      <c r="GYC70" s="228"/>
      <c r="GYD70" s="228"/>
      <c r="GYE70" s="226"/>
      <c r="GYF70" s="226"/>
      <c r="GYG70" s="224"/>
      <c r="GYH70" s="225"/>
      <c r="GYI70" s="226"/>
      <c r="GYJ70" s="227"/>
      <c r="GYK70" s="228"/>
      <c r="GYL70" s="228"/>
      <c r="GYM70" s="228"/>
      <c r="GYN70" s="228"/>
      <c r="GYO70" s="228"/>
      <c r="GYP70" s="228"/>
      <c r="GYQ70" s="226"/>
      <c r="GYR70" s="226"/>
      <c r="GYS70" s="224"/>
      <c r="GYT70" s="225"/>
      <c r="GYU70" s="226"/>
      <c r="GYV70" s="227"/>
      <c r="GYW70" s="228"/>
      <c r="GYX70" s="228"/>
      <c r="GYY70" s="228"/>
      <c r="GYZ70" s="228"/>
      <c r="GZA70" s="228"/>
      <c r="GZB70" s="228"/>
      <c r="GZC70" s="226"/>
      <c r="GZD70" s="226"/>
      <c r="GZE70" s="224"/>
      <c r="GZF70" s="225"/>
      <c r="GZG70" s="226"/>
      <c r="GZH70" s="227"/>
      <c r="GZI70" s="228"/>
      <c r="GZJ70" s="228"/>
      <c r="GZK70" s="228"/>
      <c r="GZL70" s="228"/>
      <c r="GZM70" s="228"/>
      <c r="GZN70" s="228"/>
      <c r="GZO70" s="226"/>
      <c r="GZP70" s="226"/>
      <c r="GZQ70" s="224"/>
      <c r="GZR70" s="225"/>
      <c r="GZS70" s="226"/>
      <c r="GZT70" s="227"/>
      <c r="GZU70" s="228"/>
      <c r="GZV70" s="228"/>
      <c r="GZW70" s="228"/>
      <c r="GZX70" s="228"/>
      <c r="GZY70" s="228"/>
      <c r="GZZ70" s="228"/>
      <c r="HAA70" s="226"/>
      <c r="HAB70" s="226"/>
      <c r="HAC70" s="224"/>
      <c r="HAD70" s="225"/>
      <c r="HAE70" s="226"/>
      <c r="HAF70" s="227"/>
      <c r="HAG70" s="228"/>
      <c r="HAH70" s="228"/>
      <c r="HAI70" s="228"/>
      <c r="HAJ70" s="228"/>
      <c r="HAK70" s="228"/>
      <c r="HAL70" s="228"/>
      <c r="HAM70" s="226"/>
      <c r="HAN70" s="226"/>
      <c r="HAO70" s="224"/>
      <c r="HAP70" s="225"/>
      <c r="HAQ70" s="226"/>
      <c r="HAR70" s="227"/>
      <c r="HAS70" s="228"/>
      <c r="HAT70" s="228"/>
      <c r="HAU70" s="228"/>
      <c r="HAV70" s="228"/>
      <c r="HAW70" s="228"/>
      <c r="HAX70" s="228"/>
      <c r="HAY70" s="226"/>
      <c r="HAZ70" s="226"/>
      <c r="HBA70" s="224"/>
      <c r="HBB70" s="225"/>
      <c r="HBC70" s="226"/>
      <c r="HBD70" s="227"/>
      <c r="HBE70" s="228"/>
      <c r="HBF70" s="228"/>
      <c r="HBG70" s="228"/>
      <c r="HBH70" s="228"/>
      <c r="HBI70" s="228"/>
      <c r="HBJ70" s="228"/>
      <c r="HBK70" s="226"/>
      <c r="HBL70" s="226"/>
      <c r="HBM70" s="224"/>
      <c r="HBN70" s="225"/>
      <c r="HBO70" s="226"/>
      <c r="HBP70" s="227"/>
      <c r="HBQ70" s="228"/>
      <c r="HBR70" s="228"/>
      <c r="HBS70" s="228"/>
      <c r="HBT70" s="228"/>
      <c r="HBU70" s="228"/>
      <c r="HBV70" s="228"/>
      <c r="HBW70" s="226"/>
      <c r="HBX70" s="226"/>
      <c r="HBY70" s="224"/>
      <c r="HBZ70" s="225"/>
      <c r="HCA70" s="226"/>
      <c r="HCB70" s="227"/>
      <c r="HCC70" s="228"/>
      <c r="HCD70" s="228"/>
      <c r="HCE70" s="228"/>
      <c r="HCF70" s="228"/>
      <c r="HCG70" s="228"/>
      <c r="HCH70" s="228"/>
      <c r="HCI70" s="226"/>
      <c r="HCJ70" s="226"/>
      <c r="HCK70" s="224"/>
      <c r="HCL70" s="225"/>
      <c r="HCM70" s="226"/>
      <c r="HCN70" s="227"/>
      <c r="HCO70" s="228"/>
      <c r="HCP70" s="228"/>
      <c r="HCQ70" s="228"/>
      <c r="HCR70" s="228"/>
      <c r="HCS70" s="228"/>
      <c r="HCT70" s="228"/>
      <c r="HCU70" s="226"/>
      <c r="HCV70" s="226"/>
      <c r="HCW70" s="224"/>
      <c r="HCX70" s="225"/>
      <c r="HCY70" s="226"/>
      <c r="HCZ70" s="227"/>
      <c r="HDA70" s="228"/>
      <c r="HDB70" s="228"/>
      <c r="HDC70" s="228"/>
      <c r="HDD70" s="228"/>
      <c r="HDE70" s="228"/>
      <c r="HDF70" s="228"/>
      <c r="HDG70" s="226"/>
      <c r="HDH70" s="226"/>
      <c r="HDI70" s="224"/>
      <c r="HDJ70" s="225"/>
      <c r="HDK70" s="226"/>
      <c r="HDL70" s="227"/>
      <c r="HDM70" s="228"/>
      <c r="HDN70" s="228"/>
      <c r="HDO70" s="228"/>
      <c r="HDP70" s="228"/>
      <c r="HDQ70" s="228"/>
      <c r="HDR70" s="228"/>
      <c r="HDS70" s="226"/>
      <c r="HDT70" s="226"/>
      <c r="HDU70" s="224"/>
      <c r="HDV70" s="225"/>
      <c r="HDW70" s="226"/>
      <c r="HDX70" s="227"/>
      <c r="HDY70" s="228"/>
      <c r="HDZ70" s="228"/>
      <c r="HEA70" s="228"/>
      <c r="HEB70" s="228"/>
      <c r="HEC70" s="228"/>
      <c r="HED70" s="228"/>
      <c r="HEE70" s="226"/>
      <c r="HEF70" s="226"/>
      <c r="HEG70" s="224"/>
      <c r="HEH70" s="225"/>
      <c r="HEI70" s="226"/>
      <c r="HEJ70" s="227"/>
      <c r="HEK70" s="228"/>
      <c r="HEL70" s="228"/>
      <c r="HEM70" s="228"/>
      <c r="HEN70" s="228"/>
      <c r="HEO70" s="228"/>
      <c r="HEP70" s="228"/>
      <c r="HEQ70" s="226"/>
      <c r="HER70" s="226"/>
      <c r="HES70" s="224"/>
      <c r="HET70" s="225"/>
      <c r="HEU70" s="226"/>
      <c r="HEV70" s="227"/>
      <c r="HEW70" s="228"/>
      <c r="HEX70" s="228"/>
      <c r="HEY70" s="228"/>
      <c r="HEZ70" s="228"/>
      <c r="HFA70" s="228"/>
      <c r="HFB70" s="228"/>
      <c r="HFC70" s="226"/>
      <c r="HFD70" s="226"/>
      <c r="HFE70" s="224"/>
      <c r="HFF70" s="225"/>
      <c r="HFG70" s="226"/>
      <c r="HFH70" s="227"/>
      <c r="HFI70" s="228"/>
      <c r="HFJ70" s="228"/>
      <c r="HFK70" s="228"/>
      <c r="HFL70" s="228"/>
      <c r="HFM70" s="228"/>
      <c r="HFN70" s="228"/>
      <c r="HFO70" s="226"/>
      <c r="HFP70" s="226"/>
      <c r="HFQ70" s="224"/>
      <c r="HFR70" s="225"/>
      <c r="HFS70" s="226"/>
      <c r="HFT70" s="227"/>
      <c r="HFU70" s="228"/>
      <c r="HFV70" s="228"/>
      <c r="HFW70" s="228"/>
      <c r="HFX70" s="228"/>
      <c r="HFY70" s="228"/>
      <c r="HFZ70" s="228"/>
      <c r="HGA70" s="226"/>
      <c r="HGB70" s="226"/>
      <c r="HGC70" s="224"/>
      <c r="HGD70" s="225"/>
      <c r="HGE70" s="226"/>
      <c r="HGF70" s="227"/>
      <c r="HGG70" s="228"/>
      <c r="HGH70" s="228"/>
      <c r="HGI70" s="228"/>
      <c r="HGJ70" s="228"/>
      <c r="HGK70" s="228"/>
      <c r="HGL70" s="228"/>
      <c r="HGM70" s="226"/>
      <c r="HGN70" s="226"/>
      <c r="HGO70" s="224"/>
      <c r="HGP70" s="225"/>
      <c r="HGQ70" s="226"/>
      <c r="HGR70" s="227"/>
      <c r="HGS70" s="228"/>
      <c r="HGT70" s="228"/>
      <c r="HGU70" s="228"/>
      <c r="HGV70" s="228"/>
      <c r="HGW70" s="228"/>
      <c r="HGX70" s="228"/>
      <c r="HGY70" s="226"/>
      <c r="HGZ70" s="226"/>
      <c r="HHA70" s="224"/>
      <c r="HHB70" s="225"/>
      <c r="HHC70" s="226"/>
      <c r="HHD70" s="227"/>
      <c r="HHE70" s="228"/>
      <c r="HHF70" s="228"/>
      <c r="HHG70" s="228"/>
      <c r="HHH70" s="228"/>
      <c r="HHI70" s="228"/>
      <c r="HHJ70" s="228"/>
      <c r="HHK70" s="226"/>
      <c r="HHL70" s="226"/>
      <c r="HHM70" s="224"/>
      <c r="HHN70" s="225"/>
      <c r="HHO70" s="226"/>
      <c r="HHP70" s="227"/>
      <c r="HHQ70" s="228"/>
      <c r="HHR70" s="228"/>
      <c r="HHS70" s="228"/>
      <c r="HHT70" s="228"/>
      <c r="HHU70" s="228"/>
      <c r="HHV70" s="228"/>
      <c r="HHW70" s="226"/>
      <c r="HHX70" s="226"/>
      <c r="HHY70" s="224"/>
      <c r="HHZ70" s="225"/>
      <c r="HIA70" s="226"/>
      <c r="HIB70" s="227"/>
      <c r="HIC70" s="228"/>
      <c r="HID70" s="228"/>
      <c r="HIE70" s="228"/>
      <c r="HIF70" s="228"/>
      <c r="HIG70" s="228"/>
      <c r="HIH70" s="228"/>
      <c r="HII70" s="226"/>
      <c r="HIJ70" s="226"/>
      <c r="HIK70" s="224"/>
      <c r="HIL70" s="225"/>
      <c r="HIM70" s="226"/>
      <c r="HIN70" s="227"/>
      <c r="HIO70" s="228"/>
      <c r="HIP70" s="228"/>
      <c r="HIQ70" s="228"/>
      <c r="HIR70" s="228"/>
      <c r="HIS70" s="228"/>
      <c r="HIT70" s="228"/>
      <c r="HIU70" s="226"/>
      <c r="HIV70" s="226"/>
      <c r="HIW70" s="224"/>
      <c r="HIX70" s="225"/>
      <c r="HIY70" s="226"/>
      <c r="HIZ70" s="227"/>
      <c r="HJA70" s="228"/>
      <c r="HJB70" s="228"/>
      <c r="HJC70" s="228"/>
      <c r="HJD70" s="228"/>
      <c r="HJE70" s="228"/>
      <c r="HJF70" s="228"/>
      <c r="HJG70" s="226"/>
      <c r="HJH70" s="226"/>
      <c r="HJI70" s="224"/>
      <c r="HJJ70" s="225"/>
      <c r="HJK70" s="226"/>
      <c r="HJL70" s="227"/>
      <c r="HJM70" s="228"/>
      <c r="HJN70" s="228"/>
      <c r="HJO70" s="228"/>
      <c r="HJP70" s="228"/>
      <c r="HJQ70" s="228"/>
      <c r="HJR70" s="228"/>
      <c r="HJS70" s="226"/>
      <c r="HJT70" s="226"/>
      <c r="HJU70" s="224"/>
      <c r="HJV70" s="225"/>
      <c r="HJW70" s="226"/>
      <c r="HJX70" s="227"/>
      <c r="HJY70" s="228"/>
      <c r="HJZ70" s="228"/>
      <c r="HKA70" s="228"/>
      <c r="HKB70" s="228"/>
      <c r="HKC70" s="228"/>
      <c r="HKD70" s="228"/>
      <c r="HKE70" s="226"/>
      <c r="HKF70" s="226"/>
      <c r="HKG70" s="224"/>
      <c r="HKH70" s="225"/>
      <c r="HKI70" s="226"/>
      <c r="HKJ70" s="227"/>
      <c r="HKK70" s="228"/>
      <c r="HKL70" s="228"/>
      <c r="HKM70" s="228"/>
      <c r="HKN70" s="228"/>
      <c r="HKO70" s="228"/>
      <c r="HKP70" s="228"/>
      <c r="HKQ70" s="226"/>
      <c r="HKR70" s="226"/>
      <c r="HKS70" s="224"/>
      <c r="HKT70" s="225"/>
      <c r="HKU70" s="226"/>
      <c r="HKV70" s="227"/>
      <c r="HKW70" s="228"/>
      <c r="HKX70" s="228"/>
      <c r="HKY70" s="228"/>
      <c r="HKZ70" s="228"/>
      <c r="HLA70" s="228"/>
      <c r="HLB70" s="228"/>
      <c r="HLC70" s="226"/>
      <c r="HLD70" s="226"/>
      <c r="HLE70" s="224"/>
      <c r="HLF70" s="225"/>
      <c r="HLG70" s="226"/>
      <c r="HLH70" s="227"/>
      <c r="HLI70" s="228"/>
      <c r="HLJ70" s="228"/>
      <c r="HLK70" s="228"/>
      <c r="HLL70" s="228"/>
      <c r="HLM70" s="228"/>
      <c r="HLN70" s="228"/>
      <c r="HLO70" s="226"/>
      <c r="HLP70" s="226"/>
      <c r="HLQ70" s="224"/>
      <c r="HLR70" s="225"/>
      <c r="HLS70" s="226"/>
      <c r="HLT70" s="227"/>
      <c r="HLU70" s="228"/>
      <c r="HLV70" s="228"/>
      <c r="HLW70" s="228"/>
      <c r="HLX70" s="228"/>
      <c r="HLY70" s="228"/>
      <c r="HLZ70" s="228"/>
      <c r="HMA70" s="226"/>
      <c r="HMB70" s="226"/>
      <c r="HMC70" s="224"/>
      <c r="HMD70" s="225"/>
      <c r="HME70" s="226"/>
      <c r="HMF70" s="227"/>
      <c r="HMG70" s="228"/>
      <c r="HMH70" s="228"/>
      <c r="HMI70" s="228"/>
      <c r="HMJ70" s="228"/>
      <c r="HMK70" s="228"/>
      <c r="HML70" s="228"/>
      <c r="HMM70" s="226"/>
      <c r="HMN70" s="226"/>
      <c r="HMO70" s="224"/>
      <c r="HMP70" s="225"/>
      <c r="HMQ70" s="226"/>
      <c r="HMR70" s="227"/>
      <c r="HMS70" s="228"/>
      <c r="HMT70" s="228"/>
      <c r="HMU70" s="228"/>
      <c r="HMV70" s="228"/>
      <c r="HMW70" s="228"/>
      <c r="HMX70" s="228"/>
      <c r="HMY70" s="226"/>
      <c r="HMZ70" s="226"/>
      <c r="HNA70" s="224"/>
      <c r="HNB70" s="225"/>
      <c r="HNC70" s="226"/>
      <c r="HND70" s="227"/>
      <c r="HNE70" s="228"/>
      <c r="HNF70" s="228"/>
      <c r="HNG70" s="228"/>
      <c r="HNH70" s="228"/>
      <c r="HNI70" s="228"/>
      <c r="HNJ70" s="228"/>
      <c r="HNK70" s="226"/>
      <c r="HNL70" s="226"/>
      <c r="HNM70" s="224"/>
      <c r="HNN70" s="225"/>
      <c r="HNO70" s="226"/>
      <c r="HNP70" s="227"/>
      <c r="HNQ70" s="228"/>
      <c r="HNR70" s="228"/>
      <c r="HNS70" s="228"/>
      <c r="HNT70" s="228"/>
      <c r="HNU70" s="228"/>
      <c r="HNV70" s="228"/>
      <c r="HNW70" s="226"/>
      <c r="HNX70" s="226"/>
      <c r="HNY70" s="224"/>
      <c r="HNZ70" s="225"/>
      <c r="HOA70" s="226"/>
      <c r="HOB70" s="227"/>
      <c r="HOC70" s="228"/>
      <c r="HOD70" s="228"/>
      <c r="HOE70" s="228"/>
      <c r="HOF70" s="228"/>
      <c r="HOG70" s="228"/>
      <c r="HOH70" s="228"/>
      <c r="HOI70" s="226"/>
      <c r="HOJ70" s="226"/>
      <c r="HOK70" s="224"/>
      <c r="HOL70" s="225"/>
      <c r="HOM70" s="226"/>
      <c r="HON70" s="227"/>
      <c r="HOO70" s="228"/>
      <c r="HOP70" s="228"/>
      <c r="HOQ70" s="228"/>
      <c r="HOR70" s="228"/>
      <c r="HOS70" s="228"/>
      <c r="HOT70" s="228"/>
      <c r="HOU70" s="226"/>
      <c r="HOV70" s="226"/>
      <c r="HOW70" s="224"/>
      <c r="HOX70" s="225"/>
      <c r="HOY70" s="226"/>
      <c r="HOZ70" s="227"/>
      <c r="HPA70" s="228"/>
      <c r="HPB70" s="228"/>
      <c r="HPC70" s="228"/>
      <c r="HPD70" s="228"/>
      <c r="HPE70" s="228"/>
      <c r="HPF70" s="228"/>
      <c r="HPG70" s="226"/>
      <c r="HPH70" s="226"/>
      <c r="HPI70" s="224"/>
      <c r="HPJ70" s="225"/>
      <c r="HPK70" s="226"/>
      <c r="HPL70" s="227"/>
      <c r="HPM70" s="228"/>
      <c r="HPN70" s="228"/>
      <c r="HPO70" s="228"/>
      <c r="HPP70" s="228"/>
      <c r="HPQ70" s="228"/>
      <c r="HPR70" s="228"/>
      <c r="HPS70" s="226"/>
      <c r="HPT70" s="226"/>
      <c r="HPU70" s="224"/>
      <c r="HPV70" s="225"/>
      <c r="HPW70" s="226"/>
      <c r="HPX70" s="227"/>
      <c r="HPY70" s="228"/>
      <c r="HPZ70" s="228"/>
      <c r="HQA70" s="228"/>
      <c r="HQB70" s="228"/>
      <c r="HQC70" s="228"/>
      <c r="HQD70" s="228"/>
      <c r="HQE70" s="226"/>
      <c r="HQF70" s="226"/>
      <c r="HQG70" s="224"/>
      <c r="HQH70" s="225"/>
      <c r="HQI70" s="226"/>
      <c r="HQJ70" s="227"/>
      <c r="HQK70" s="228"/>
      <c r="HQL70" s="228"/>
      <c r="HQM70" s="228"/>
      <c r="HQN70" s="228"/>
      <c r="HQO70" s="228"/>
      <c r="HQP70" s="228"/>
      <c r="HQQ70" s="226"/>
      <c r="HQR70" s="226"/>
      <c r="HQS70" s="224"/>
      <c r="HQT70" s="225"/>
      <c r="HQU70" s="226"/>
      <c r="HQV70" s="227"/>
      <c r="HQW70" s="228"/>
      <c r="HQX70" s="228"/>
      <c r="HQY70" s="228"/>
      <c r="HQZ70" s="228"/>
      <c r="HRA70" s="228"/>
      <c r="HRB70" s="228"/>
      <c r="HRC70" s="226"/>
      <c r="HRD70" s="226"/>
      <c r="HRE70" s="224"/>
      <c r="HRF70" s="225"/>
      <c r="HRG70" s="226"/>
      <c r="HRH70" s="227"/>
      <c r="HRI70" s="228"/>
      <c r="HRJ70" s="228"/>
      <c r="HRK70" s="228"/>
      <c r="HRL70" s="228"/>
      <c r="HRM70" s="228"/>
      <c r="HRN70" s="228"/>
      <c r="HRO70" s="226"/>
      <c r="HRP70" s="226"/>
      <c r="HRQ70" s="224"/>
      <c r="HRR70" s="225"/>
      <c r="HRS70" s="226"/>
      <c r="HRT70" s="227"/>
      <c r="HRU70" s="228"/>
      <c r="HRV70" s="228"/>
      <c r="HRW70" s="228"/>
      <c r="HRX70" s="228"/>
      <c r="HRY70" s="228"/>
      <c r="HRZ70" s="228"/>
      <c r="HSA70" s="226"/>
      <c r="HSB70" s="226"/>
      <c r="HSC70" s="224"/>
      <c r="HSD70" s="225"/>
      <c r="HSE70" s="226"/>
      <c r="HSF70" s="227"/>
      <c r="HSG70" s="228"/>
      <c r="HSH70" s="228"/>
      <c r="HSI70" s="228"/>
      <c r="HSJ70" s="228"/>
      <c r="HSK70" s="228"/>
      <c r="HSL70" s="228"/>
      <c r="HSM70" s="226"/>
      <c r="HSN70" s="226"/>
      <c r="HSO70" s="224"/>
      <c r="HSP70" s="225"/>
      <c r="HSQ70" s="226"/>
      <c r="HSR70" s="227"/>
      <c r="HSS70" s="228"/>
      <c r="HST70" s="228"/>
      <c r="HSU70" s="228"/>
      <c r="HSV70" s="228"/>
      <c r="HSW70" s="228"/>
      <c r="HSX70" s="228"/>
      <c r="HSY70" s="226"/>
      <c r="HSZ70" s="226"/>
      <c r="HTA70" s="224"/>
      <c r="HTB70" s="225"/>
      <c r="HTC70" s="226"/>
      <c r="HTD70" s="227"/>
      <c r="HTE70" s="228"/>
      <c r="HTF70" s="228"/>
      <c r="HTG70" s="228"/>
      <c r="HTH70" s="228"/>
      <c r="HTI70" s="228"/>
      <c r="HTJ70" s="228"/>
      <c r="HTK70" s="226"/>
      <c r="HTL70" s="226"/>
      <c r="HTM70" s="224"/>
      <c r="HTN70" s="225"/>
      <c r="HTO70" s="226"/>
      <c r="HTP70" s="227"/>
      <c r="HTQ70" s="228"/>
      <c r="HTR70" s="228"/>
      <c r="HTS70" s="228"/>
      <c r="HTT70" s="228"/>
      <c r="HTU70" s="228"/>
      <c r="HTV70" s="228"/>
      <c r="HTW70" s="226"/>
      <c r="HTX70" s="226"/>
      <c r="HTY70" s="224"/>
      <c r="HTZ70" s="225"/>
      <c r="HUA70" s="226"/>
      <c r="HUB70" s="227"/>
      <c r="HUC70" s="228"/>
      <c r="HUD70" s="228"/>
      <c r="HUE70" s="228"/>
      <c r="HUF70" s="228"/>
      <c r="HUG70" s="228"/>
      <c r="HUH70" s="228"/>
      <c r="HUI70" s="226"/>
      <c r="HUJ70" s="226"/>
      <c r="HUK70" s="224"/>
      <c r="HUL70" s="225"/>
      <c r="HUM70" s="226"/>
      <c r="HUN70" s="227"/>
      <c r="HUO70" s="228"/>
      <c r="HUP70" s="228"/>
      <c r="HUQ70" s="228"/>
      <c r="HUR70" s="228"/>
      <c r="HUS70" s="228"/>
      <c r="HUT70" s="228"/>
      <c r="HUU70" s="226"/>
      <c r="HUV70" s="226"/>
      <c r="HUW70" s="224"/>
      <c r="HUX70" s="225"/>
      <c r="HUY70" s="226"/>
      <c r="HUZ70" s="227"/>
      <c r="HVA70" s="228"/>
      <c r="HVB70" s="228"/>
      <c r="HVC70" s="228"/>
      <c r="HVD70" s="228"/>
      <c r="HVE70" s="228"/>
      <c r="HVF70" s="228"/>
      <c r="HVG70" s="226"/>
      <c r="HVH70" s="226"/>
      <c r="HVI70" s="224"/>
      <c r="HVJ70" s="225"/>
      <c r="HVK70" s="226"/>
      <c r="HVL70" s="227"/>
      <c r="HVM70" s="228"/>
      <c r="HVN70" s="228"/>
      <c r="HVO70" s="228"/>
      <c r="HVP70" s="228"/>
      <c r="HVQ70" s="228"/>
      <c r="HVR70" s="228"/>
      <c r="HVS70" s="226"/>
      <c r="HVT70" s="226"/>
      <c r="HVU70" s="224"/>
      <c r="HVV70" s="225"/>
      <c r="HVW70" s="226"/>
      <c r="HVX70" s="227"/>
      <c r="HVY70" s="228"/>
      <c r="HVZ70" s="228"/>
      <c r="HWA70" s="228"/>
      <c r="HWB70" s="228"/>
      <c r="HWC70" s="228"/>
      <c r="HWD70" s="228"/>
      <c r="HWE70" s="226"/>
      <c r="HWF70" s="226"/>
      <c r="HWG70" s="224"/>
      <c r="HWH70" s="225"/>
      <c r="HWI70" s="226"/>
      <c r="HWJ70" s="227"/>
      <c r="HWK70" s="228"/>
      <c r="HWL70" s="228"/>
      <c r="HWM70" s="228"/>
      <c r="HWN70" s="228"/>
      <c r="HWO70" s="228"/>
      <c r="HWP70" s="228"/>
      <c r="HWQ70" s="226"/>
      <c r="HWR70" s="226"/>
      <c r="HWS70" s="224"/>
      <c r="HWT70" s="225"/>
      <c r="HWU70" s="226"/>
      <c r="HWV70" s="227"/>
      <c r="HWW70" s="228"/>
      <c r="HWX70" s="228"/>
      <c r="HWY70" s="228"/>
      <c r="HWZ70" s="228"/>
      <c r="HXA70" s="228"/>
      <c r="HXB70" s="228"/>
      <c r="HXC70" s="226"/>
      <c r="HXD70" s="226"/>
      <c r="HXE70" s="224"/>
      <c r="HXF70" s="225"/>
      <c r="HXG70" s="226"/>
      <c r="HXH70" s="227"/>
      <c r="HXI70" s="228"/>
      <c r="HXJ70" s="228"/>
      <c r="HXK70" s="228"/>
      <c r="HXL70" s="228"/>
      <c r="HXM70" s="228"/>
      <c r="HXN70" s="228"/>
      <c r="HXO70" s="226"/>
      <c r="HXP70" s="226"/>
      <c r="HXQ70" s="224"/>
      <c r="HXR70" s="225"/>
      <c r="HXS70" s="226"/>
      <c r="HXT70" s="227"/>
      <c r="HXU70" s="228"/>
      <c r="HXV70" s="228"/>
      <c r="HXW70" s="228"/>
      <c r="HXX70" s="228"/>
      <c r="HXY70" s="228"/>
      <c r="HXZ70" s="228"/>
      <c r="HYA70" s="226"/>
      <c r="HYB70" s="226"/>
      <c r="HYC70" s="224"/>
      <c r="HYD70" s="225"/>
      <c r="HYE70" s="226"/>
      <c r="HYF70" s="227"/>
      <c r="HYG70" s="228"/>
      <c r="HYH70" s="228"/>
      <c r="HYI70" s="228"/>
      <c r="HYJ70" s="228"/>
      <c r="HYK70" s="228"/>
      <c r="HYL70" s="228"/>
      <c r="HYM70" s="226"/>
      <c r="HYN70" s="226"/>
      <c r="HYO70" s="224"/>
      <c r="HYP70" s="225"/>
      <c r="HYQ70" s="226"/>
      <c r="HYR70" s="227"/>
      <c r="HYS70" s="228"/>
      <c r="HYT70" s="228"/>
      <c r="HYU70" s="228"/>
      <c r="HYV70" s="228"/>
      <c r="HYW70" s="228"/>
      <c r="HYX70" s="228"/>
      <c r="HYY70" s="226"/>
      <c r="HYZ70" s="226"/>
      <c r="HZA70" s="224"/>
      <c r="HZB70" s="225"/>
      <c r="HZC70" s="226"/>
      <c r="HZD70" s="227"/>
      <c r="HZE70" s="228"/>
      <c r="HZF70" s="228"/>
      <c r="HZG70" s="228"/>
      <c r="HZH70" s="228"/>
      <c r="HZI70" s="228"/>
      <c r="HZJ70" s="228"/>
      <c r="HZK70" s="226"/>
      <c r="HZL70" s="226"/>
      <c r="HZM70" s="224"/>
      <c r="HZN70" s="225"/>
      <c r="HZO70" s="226"/>
      <c r="HZP70" s="227"/>
      <c r="HZQ70" s="228"/>
      <c r="HZR70" s="228"/>
      <c r="HZS70" s="228"/>
      <c r="HZT70" s="228"/>
      <c r="HZU70" s="228"/>
      <c r="HZV70" s="228"/>
      <c r="HZW70" s="226"/>
      <c r="HZX70" s="226"/>
      <c r="HZY70" s="224"/>
      <c r="HZZ70" s="225"/>
      <c r="IAA70" s="226"/>
      <c r="IAB70" s="227"/>
      <c r="IAC70" s="228"/>
      <c r="IAD70" s="228"/>
      <c r="IAE70" s="228"/>
      <c r="IAF70" s="228"/>
      <c r="IAG70" s="228"/>
      <c r="IAH70" s="228"/>
      <c r="IAI70" s="226"/>
      <c r="IAJ70" s="226"/>
      <c r="IAK70" s="224"/>
      <c r="IAL70" s="225"/>
      <c r="IAM70" s="226"/>
      <c r="IAN70" s="227"/>
      <c r="IAO70" s="228"/>
      <c r="IAP70" s="228"/>
      <c r="IAQ70" s="228"/>
      <c r="IAR70" s="228"/>
      <c r="IAS70" s="228"/>
      <c r="IAT70" s="228"/>
      <c r="IAU70" s="226"/>
      <c r="IAV70" s="226"/>
      <c r="IAW70" s="224"/>
      <c r="IAX70" s="225"/>
      <c r="IAY70" s="226"/>
      <c r="IAZ70" s="227"/>
      <c r="IBA70" s="228"/>
      <c r="IBB70" s="228"/>
      <c r="IBC70" s="228"/>
      <c r="IBD70" s="228"/>
      <c r="IBE70" s="228"/>
      <c r="IBF70" s="228"/>
      <c r="IBG70" s="226"/>
      <c r="IBH70" s="226"/>
      <c r="IBI70" s="224"/>
      <c r="IBJ70" s="225"/>
      <c r="IBK70" s="226"/>
      <c r="IBL70" s="227"/>
      <c r="IBM70" s="228"/>
      <c r="IBN70" s="228"/>
      <c r="IBO70" s="228"/>
      <c r="IBP70" s="228"/>
      <c r="IBQ70" s="228"/>
      <c r="IBR70" s="228"/>
      <c r="IBS70" s="226"/>
      <c r="IBT70" s="226"/>
      <c r="IBU70" s="224"/>
      <c r="IBV70" s="225"/>
      <c r="IBW70" s="226"/>
      <c r="IBX70" s="227"/>
      <c r="IBY70" s="228"/>
      <c r="IBZ70" s="228"/>
      <c r="ICA70" s="228"/>
      <c r="ICB70" s="228"/>
      <c r="ICC70" s="228"/>
      <c r="ICD70" s="228"/>
      <c r="ICE70" s="226"/>
      <c r="ICF70" s="226"/>
      <c r="ICG70" s="224"/>
      <c r="ICH70" s="225"/>
      <c r="ICI70" s="226"/>
      <c r="ICJ70" s="227"/>
      <c r="ICK70" s="228"/>
      <c r="ICL70" s="228"/>
      <c r="ICM70" s="228"/>
      <c r="ICN70" s="228"/>
      <c r="ICO70" s="228"/>
      <c r="ICP70" s="228"/>
      <c r="ICQ70" s="226"/>
      <c r="ICR70" s="226"/>
      <c r="ICS70" s="224"/>
      <c r="ICT70" s="225"/>
      <c r="ICU70" s="226"/>
      <c r="ICV70" s="227"/>
      <c r="ICW70" s="228"/>
      <c r="ICX70" s="228"/>
      <c r="ICY70" s="228"/>
      <c r="ICZ70" s="228"/>
      <c r="IDA70" s="228"/>
      <c r="IDB70" s="228"/>
      <c r="IDC70" s="226"/>
      <c r="IDD70" s="226"/>
      <c r="IDE70" s="224"/>
      <c r="IDF70" s="225"/>
      <c r="IDG70" s="226"/>
      <c r="IDH70" s="227"/>
      <c r="IDI70" s="228"/>
      <c r="IDJ70" s="228"/>
      <c r="IDK70" s="228"/>
      <c r="IDL70" s="228"/>
      <c r="IDM70" s="228"/>
      <c r="IDN70" s="228"/>
      <c r="IDO70" s="226"/>
      <c r="IDP70" s="226"/>
      <c r="IDQ70" s="224"/>
      <c r="IDR70" s="225"/>
      <c r="IDS70" s="226"/>
      <c r="IDT70" s="227"/>
      <c r="IDU70" s="228"/>
      <c r="IDV70" s="228"/>
      <c r="IDW70" s="228"/>
      <c r="IDX70" s="228"/>
      <c r="IDY70" s="228"/>
      <c r="IDZ70" s="228"/>
      <c r="IEA70" s="226"/>
      <c r="IEB70" s="226"/>
      <c r="IEC70" s="224"/>
      <c r="IED70" s="225"/>
      <c r="IEE70" s="226"/>
      <c r="IEF70" s="227"/>
      <c r="IEG70" s="228"/>
      <c r="IEH70" s="228"/>
      <c r="IEI70" s="228"/>
      <c r="IEJ70" s="228"/>
      <c r="IEK70" s="228"/>
      <c r="IEL70" s="228"/>
      <c r="IEM70" s="226"/>
      <c r="IEN70" s="226"/>
      <c r="IEO70" s="224"/>
      <c r="IEP70" s="225"/>
      <c r="IEQ70" s="226"/>
      <c r="IER70" s="227"/>
      <c r="IES70" s="228"/>
      <c r="IET70" s="228"/>
      <c r="IEU70" s="228"/>
      <c r="IEV70" s="228"/>
      <c r="IEW70" s="228"/>
      <c r="IEX70" s="228"/>
      <c r="IEY70" s="226"/>
      <c r="IEZ70" s="226"/>
      <c r="IFA70" s="224"/>
      <c r="IFB70" s="225"/>
      <c r="IFC70" s="226"/>
      <c r="IFD70" s="227"/>
      <c r="IFE70" s="228"/>
      <c r="IFF70" s="228"/>
      <c r="IFG70" s="228"/>
      <c r="IFH70" s="228"/>
      <c r="IFI70" s="228"/>
      <c r="IFJ70" s="228"/>
      <c r="IFK70" s="226"/>
      <c r="IFL70" s="226"/>
      <c r="IFM70" s="224"/>
      <c r="IFN70" s="225"/>
      <c r="IFO70" s="226"/>
      <c r="IFP70" s="227"/>
      <c r="IFQ70" s="228"/>
      <c r="IFR70" s="228"/>
      <c r="IFS70" s="228"/>
      <c r="IFT70" s="228"/>
      <c r="IFU70" s="228"/>
      <c r="IFV70" s="228"/>
      <c r="IFW70" s="226"/>
      <c r="IFX70" s="226"/>
      <c r="IFY70" s="224"/>
      <c r="IFZ70" s="225"/>
      <c r="IGA70" s="226"/>
      <c r="IGB70" s="227"/>
      <c r="IGC70" s="228"/>
      <c r="IGD70" s="228"/>
      <c r="IGE70" s="228"/>
      <c r="IGF70" s="228"/>
      <c r="IGG70" s="228"/>
      <c r="IGH70" s="228"/>
      <c r="IGI70" s="226"/>
      <c r="IGJ70" s="226"/>
      <c r="IGK70" s="224"/>
      <c r="IGL70" s="225"/>
      <c r="IGM70" s="226"/>
      <c r="IGN70" s="227"/>
      <c r="IGO70" s="228"/>
      <c r="IGP70" s="228"/>
      <c r="IGQ70" s="228"/>
      <c r="IGR70" s="228"/>
      <c r="IGS70" s="228"/>
      <c r="IGT70" s="228"/>
      <c r="IGU70" s="226"/>
      <c r="IGV70" s="226"/>
      <c r="IGW70" s="224"/>
      <c r="IGX70" s="225"/>
      <c r="IGY70" s="226"/>
      <c r="IGZ70" s="227"/>
      <c r="IHA70" s="228"/>
      <c r="IHB70" s="228"/>
      <c r="IHC70" s="228"/>
      <c r="IHD70" s="228"/>
      <c r="IHE70" s="228"/>
      <c r="IHF70" s="228"/>
      <c r="IHG70" s="226"/>
      <c r="IHH70" s="226"/>
      <c r="IHI70" s="224"/>
      <c r="IHJ70" s="225"/>
      <c r="IHK70" s="226"/>
      <c r="IHL70" s="227"/>
      <c r="IHM70" s="228"/>
      <c r="IHN70" s="228"/>
      <c r="IHO70" s="228"/>
      <c r="IHP70" s="228"/>
      <c r="IHQ70" s="228"/>
      <c r="IHR70" s="228"/>
      <c r="IHS70" s="226"/>
      <c r="IHT70" s="226"/>
      <c r="IHU70" s="224"/>
      <c r="IHV70" s="225"/>
      <c r="IHW70" s="226"/>
      <c r="IHX70" s="227"/>
      <c r="IHY70" s="228"/>
      <c r="IHZ70" s="228"/>
      <c r="IIA70" s="228"/>
      <c r="IIB70" s="228"/>
      <c r="IIC70" s="228"/>
      <c r="IID70" s="228"/>
      <c r="IIE70" s="226"/>
      <c r="IIF70" s="226"/>
      <c r="IIG70" s="224"/>
      <c r="IIH70" s="225"/>
      <c r="III70" s="226"/>
      <c r="IIJ70" s="227"/>
      <c r="IIK70" s="228"/>
      <c r="IIL70" s="228"/>
      <c r="IIM70" s="228"/>
      <c r="IIN70" s="228"/>
      <c r="IIO70" s="228"/>
      <c r="IIP70" s="228"/>
      <c r="IIQ70" s="226"/>
      <c r="IIR70" s="226"/>
      <c r="IIS70" s="224"/>
      <c r="IIT70" s="225"/>
      <c r="IIU70" s="226"/>
      <c r="IIV70" s="227"/>
      <c r="IIW70" s="228"/>
      <c r="IIX70" s="228"/>
      <c r="IIY70" s="228"/>
      <c r="IIZ70" s="228"/>
      <c r="IJA70" s="228"/>
      <c r="IJB70" s="228"/>
      <c r="IJC70" s="226"/>
      <c r="IJD70" s="226"/>
      <c r="IJE70" s="224"/>
      <c r="IJF70" s="225"/>
      <c r="IJG70" s="226"/>
      <c r="IJH70" s="227"/>
      <c r="IJI70" s="228"/>
      <c r="IJJ70" s="228"/>
      <c r="IJK70" s="228"/>
      <c r="IJL70" s="228"/>
      <c r="IJM70" s="228"/>
      <c r="IJN70" s="228"/>
      <c r="IJO70" s="226"/>
      <c r="IJP70" s="226"/>
      <c r="IJQ70" s="224"/>
      <c r="IJR70" s="225"/>
      <c r="IJS70" s="226"/>
      <c r="IJT70" s="227"/>
      <c r="IJU70" s="228"/>
      <c r="IJV70" s="228"/>
      <c r="IJW70" s="228"/>
      <c r="IJX70" s="228"/>
      <c r="IJY70" s="228"/>
      <c r="IJZ70" s="228"/>
      <c r="IKA70" s="226"/>
      <c r="IKB70" s="226"/>
      <c r="IKC70" s="224"/>
      <c r="IKD70" s="225"/>
      <c r="IKE70" s="226"/>
      <c r="IKF70" s="227"/>
      <c r="IKG70" s="228"/>
      <c r="IKH70" s="228"/>
      <c r="IKI70" s="228"/>
      <c r="IKJ70" s="228"/>
      <c r="IKK70" s="228"/>
      <c r="IKL70" s="228"/>
      <c r="IKM70" s="226"/>
      <c r="IKN70" s="226"/>
      <c r="IKO70" s="224"/>
      <c r="IKP70" s="225"/>
      <c r="IKQ70" s="226"/>
      <c r="IKR70" s="227"/>
      <c r="IKS70" s="228"/>
      <c r="IKT70" s="228"/>
      <c r="IKU70" s="228"/>
      <c r="IKV70" s="228"/>
      <c r="IKW70" s="228"/>
      <c r="IKX70" s="228"/>
      <c r="IKY70" s="226"/>
      <c r="IKZ70" s="226"/>
      <c r="ILA70" s="224"/>
      <c r="ILB70" s="225"/>
      <c r="ILC70" s="226"/>
      <c r="ILD70" s="227"/>
      <c r="ILE70" s="228"/>
      <c r="ILF70" s="228"/>
      <c r="ILG70" s="228"/>
      <c r="ILH70" s="228"/>
      <c r="ILI70" s="228"/>
      <c r="ILJ70" s="228"/>
      <c r="ILK70" s="226"/>
      <c r="ILL70" s="226"/>
      <c r="ILM70" s="224"/>
      <c r="ILN70" s="225"/>
      <c r="ILO70" s="226"/>
      <c r="ILP70" s="227"/>
      <c r="ILQ70" s="228"/>
      <c r="ILR70" s="228"/>
      <c r="ILS70" s="228"/>
      <c r="ILT70" s="228"/>
      <c r="ILU70" s="228"/>
      <c r="ILV70" s="228"/>
      <c r="ILW70" s="226"/>
      <c r="ILX70" s="226"/>
      <c r="ILY70" s="224"/>
      <c r="ILZ70" s="225"/>
      <c r="IMA70" s="226"/>
      <c r="IMB70" s="227"/>
      <c r="IMC70" s="228"/>
      <c r="IMD70" s="228"/>
      <c r="IME70" s="228"/>
      <c r="IMF70" s="228"/>
      <c r="IMG70" s="228"/>
      <c r="IMH70" s="228"/>
      <c r="IMI70" s="226"/>
      <c r="IMJ70" s="226"/>
      <c r="IMK70" s="224"/>
      <c r="IML70" s="225"/>
      <c r="IMM70" s="226"/>
      <c r="IMN70" s="227"/>
      <c r="IMO70" s="228"/>
      <c r="IMP70" s="228"/>
      <c r="IMQ70" s="228"/>
      <c r="IMR70" s="228"/>
      <c r="IMS70" s="228"/>
      <c r="IMT70" s="228"/>
      <c r="IMU70" s="226"/>
      <c r="IMV70" s="226"/>
      <c r="IMW70" s="224"/>
      <c r="IMX70" s="225"/>
      <c r="IMY70" s="226"/>
      <c r="IMZ70" s="227"/>
      <c r="INA70" s="228"/>
      <c r="INB70" s="228"/>
      <c r="INC70" s="228"/>
      <c r="IND70" s="228"/>
      <c r="INE70" s="228"/>
      <c r="INF70" s="228"/>
      <c r="ING70" s="226"/>
      <c r="INH70" s="226"/>
      <c r="INI70" s="224"/>
      <c r="INJ70" s="225"/>
      <c r="INK70" s="226"/>
      <c r="INL70" s="227"/>
      <c r="INM70" s="228"/>
      <c r="INN70" s="228"/>
      <c r="INO70" s="228"/>
      <c r="INP70" s="228"/>
      <c r="INQ70" s="228"/>
      <c r="INR70" s="228"/>
      <c r="INS70" s="226"/>
      <c r="INT70" s="226"/>
      <c r="INU70" s="224"/>
      <c r="INV70" s="225"/>
      <c r="INW70" s="226"/>
      <c r="INX70" s="227"/>
      <c r="INY70" s="228"/>
      <c r="INZ70" s="228"/>
      <c r="IOA70" s="228"/>
      <c r="IOB70" s="228"/>
      <c r="IOC70" s="228"/>
      <c r="IOD70" s="228"/>
      <c r="IOE70" s="226"/>
      <c r="IOF70" s="226"/>
      <c r="IOG70" s="224"/>
      <c r="IOH70" s="225"/>
      <c r="IOI70" s="226"/>
      <c r="IOJ70" s="227"/>
      <c r="IOK70" s="228"/>
      <c r="IOL70" s="228"/>
      <c r="IOM70" s="228"/>
      <c r="ION70" s="228"/>
      <c r="IOO70" s="228"/>
      <c r="IOP70" s="228"/>
      <c r="IOQ70" s="226"/>
      <c r="IOR70" s="226"/>
      <c r="IOS70" s="224"/>
      <c r="IOT70" s="225"/>
      <c r="IOU70" s="226"/>
      <c r="IOV70" s="227"/>
      <c r="IOW70" s="228"/>
      <c r="IOX70" s="228"/>
      <c r="IOY70" s="228"/>
      <c r="IOZ70" s="228"/>
      <c r="IPA70" s="228"/>
      <c r="IPB70" s="228"/>
      <c r="IPC70" s="226"/>
      <c r="IPD70" s="226"/>
      <c r="IPE70" s="224"/>
      <c r="IPF70" s="225"/>
      <c r="IPG70" s="226"/>
      <c r="IPH70" s="227"/>
      <c r="IPI70" s="228"/>
      <c r="IPJ70" s="228"/>
      <c r="IPK70" s="228"/>
      <c r="IPL70" s="228"/>
      <c r="IPM70" s="228"/>
      <c r="IPN70" s="228"/>
      <c r="IPO70" s="226"/>
      <c r="IPP70" s="226"/>
      <c r="IPQ70" s="224"/>
      <c r="IPR70" s="225"/>
      <c r="IPS70" s="226"/>
      <c r="IPT70" s="227"/>
      <c r="IPU70" s="228"/>
      <c r="IPV70" s="228"/>
      <c r="IPW70" s="228"/>
      <c r="IPX70" s="228"/>
      <c r="IPY70" s="228"/>
      <c r="IPZ70" s="228"/>
      <c r="IQA70" s="226"/>
      <c r="IQB70" s="226"/>
      <c r="IQC70" s="224"/>
      <c r="IQD70" s="225"/>
      <c r="IQE70" s="226"/>
      <c r="IQF70" s="227"/>
      <c r="IQG70" s="228"/>
      <c r="IQH70" s="228"/>
      <c r="IQI70" s="228"/>
      <c r="IQJ70" s="228"/>
      <c r="IQK70" s="228"/>
      <c r="IQL70" s="228"/>
      <c r="IQM70" s="226"/>
      <c r="IQN70" s="226"/>
      <c r="IQO70" s="224"/>
      <c r="IQP70" s="225"/>
      <c r="IQQ70" s="226"/>
      <c r="IQR70" s="227"/>
      <c r="IQS70" s="228"/>
      <c r="IQT70" s="228"/>
      <c r="IQU70" s="228"/>
      <c r="IQV70" s="228"/>
      <c r="IQW70" s="228"/>
      <c r="IQX70" s="228"/>
      <c r="IQY70" s="226"/>
      <c r="IQZ70" s="226"/>
      <c r="IRA70" s="224"/>
      <c r="IRB70" s="225"/>
      <c r="IRC70" s="226"/>
      <c r="IRD70" s="227"/>
      <c r="IRE70" s="228"/>
      <c r="IRF70" s="228"/>
      <c r="IRG70" s="228"/>
      <c r="IRH70" s="228"/>
      <c r="IRI70" s="228"/>
      <c r="IRJ70" s="228"/>
      <c r="IRK70" s="226"/>
      <c r="IRL70" s="226"/>
      <c r="IRM70" s="224"/>
      <c r="IRN70" s="225"/>
      <c r="IRO70" s="226"/>
      <c r="IRP70" s="227"/>
      <c r="IRQ70" s="228"/>
      <c r="IRR70" s="228"/>
      <c r="IRS70" s="228"/>
      <c r="IRT70" s="228"/>
      <c r="IRU70" s="228"/>
      <c r="IRV70" s="228"/>
      <c r="IRW70" s="226"/>
      <c r="IRX70" s="226"/>
      <c r="IRY70" s="224"/>
      <c r="IRZ70" s="225"/>
      <c r="ISA70" s="226"/>
      <c r="ISB70" s="227"/>
      <c r="ISC70" s="228"/>
      <c r="ISD70" s="228"/>
      <c r="ISE70" s="228"/>
      <c r="ISF70" s="228"/>
      <c r="ISG70" s="228"/>
      <c r="ISH70" s="228"/>
      <c r="ISI70" s="226"/>
      <c r="ISJ70" s="226"/>
      <c r="ISK70" s="224"/>
      <c r="ISL70" s="225"/>
      <c r="ISM70" s="226"/>
      <c r="ISN70" s="227"/>
      <c r="ISO70" s="228"/>
      <c r="ISP70" s="228"/>
      <c r="ISQ70" s="228"/>
      <c r="ISR70" s="228"/>
      <c r="ISS70" s="228"/>
      <c r="IST70" s="228"/>
      <c r="ISU70" s="226"/>
      <c r="ISV70" s="226"/>
      <c r="ISW70" s="224"/>
      <c r="ISX70" s="225"/>
      <c r="ISY70" s="226"/>
      <c r="ISZ70" s="227"/>
      <c r="ITA70" s="228"/>
      <c r="ITB70" s="228"/>
      <c r="ITC70" s="228"/>
      <c r="ITD70" s="228"/>
      <c r="ITE70" s="228"/>
      <c r="ITF70" s="228"/>
      <c r="ITG70" s="226"/>
      <c r="ITH70" s="226"/>
      <c r="ITI70" s="224"/>
      <c r="ITJ70" s="225"/>
      <c r="ITK70" s="226"/>
      <c r="ITL70" s="227"/>
      <c r="ITM70" s="228"/>
      <c r="ITN70" s="228"/>
      <c r="ITO70" s="228"/>
      <c r="ITP70" s="228"/>
      <c r="ITQ70" s="228"/>
      <c r="ITR70" s="228"/>
      <c r="ITS70" s="226"/>
      <c r="ITT70" s="226"/>
      <c r="ITU70" s="224"/>
      <c r="ITV70" s="225"/>
      <c r="ITW70" s="226"/>
      <c r="ITX70" s="227"/>
      <c r="ITY70" s="228"/>
      <c r="ITZ70" s="228"/>
      <c r="IUA70" s="228"/>
      <c r="IUB70" s="228"/>
      <c r="IUC70" s="228"/>
      <c r="IUD70" s="228"/>
      <c r="IUE70" s="226"/>
      <c r="IUF70" s="226"/>
      <c r="IUG70" s="224"/>
      <c r="IUH70" s="225"/>
      <c r="IUI70" s="226"/>
      <c r="IUJ70" s="227"/>
      <c r="IUK70" s="228"/>
      <c r="IUL70" s="228"/>
      <c r="IUM70" s="228"/>
      <c r="IUN70" s="228"/>
      <c r="IUO70" s="228"/>
      <c r="IUP70" s="228"/>
      <c r="IUQ70" s="226"/>
      <c r="IUR70" s="226"/>
      <c r="IUS70" s="224"/>
      <c r="IUT70" s="225"/>
      <c r="IUU70" s="226"/>
      <c r="IUV70" s="227"/>
      <c r="IUW70" s="228"/>
      <c r="IUX70" s="228"/>
      <c r="IUY70" s="228"/>
      <c r="IUZ70" s="228"/>
      <c r="IVA70" s="228"/>
      <c r="IVB70" s="228"/>
      <c r="IVC70" s="226"/>
      <c r="IVD70" s="226"/>
      <c r="IVE70" s="224"/>
      <c r="IVF70" s="225"/>
      <c r="IVG70" s="226"/>
      <c r="IVH70" s="227"/>
      <c r="IVI70" s="228"/>
      <c r="IVJ70" s="228"/>
      <c r="IVK70" s="228"/>
      <c r="IVL70" s="228"/>
      <c r="IVM70" s="228"/>
      <c r="IVN70" s="228"/>
      <c r="IVO70" s="226"/>
      <c r="IVP70" s="226"/>
      <c r="IVQ70" s="224"/>
      <c r="IVR70" s="225"/>
      <c r="IVS70" s="226"/>
      <c r="IVT70" s="227"/>
      <c r="IVU70" s="228"/>
      <c r="IVV70" s="228"/>
      <c r="IVW70" s="228"/>
      <c r="IVX70" s="228"/>
      <c r="IVY70" s="228"/>
      <c r="IVZ70" s="228"/>
      <c r="IWA70" s="226"/>
      <c r="IWB70" s="226"/>
      <c r="IWC70" s="224"/>
      <c r="IWD70" s="225"/>
      <c r="IWE70" s="226"/>
      <c r="IWF70" s="227"/>
      <c r="IWG70" s="228"/>
      <c r="IWH70" s="228"/>
      <c r="IWI70" s="228"/>
      <c r="IWJ70" s="228"/>
      <c r="IWK70" s="228"/>
      <c r="IWL70" s="228"/>
      <c r="IWM70" s="226"/>
      <c r="IWN70" s="226"/>
      <c r="IWO70" s="224"/>
      <c r="IWP70" s="225"/>
      <c r="IWQ70" s="226"/>
      <c r="IWR70" s="227"/>
      <c r="IWS70" s="228"/>
      <c r="IWT70" s="228"/>
      <c r="IWU70" s="228"/>
      <c r="IWV70" s="228"/>
      <c r="IWW70" s="228"/>
      <c r="IWX70" s="228"/>
      <c r="IWY70" s="226"/>
      <c r="IWZ70" s="226"/>
      <c r="IXA70" s="224"/>
      <c r="IXB70" s="225"/>
      <c r="IXC70" s="226"/>
      <c r="IXD70" s="227"/>
      <c r="IXE70" s="228"/>
      <c r="IXF70" s="228"/>
      <c r="IXG70" s="228"/>
      <c r="IXH70" s="228"/>
      <c r="IXI70" s="228"/>
      <c r="IXJ70" s="228"/>
      <c r="IXK70" s="226"/>
      <c r="IXL70" s="226"/>
      <c r="IXM70" s="224"/>
      <c r="IXN70" s="225"/>
      <c r="IXO70" s="226"/>
      <c r="IXP70" s="227"/>
      <c r="IXQ70" s="228"/>
      <c r="IXR70" s="228"/>
      <c r="IXS70" s="228"/>
      <c r="IXT70" s="228"/>
      <c r="IXU70" s="228"/>
      <c r="IXV70" s="228"/>
      <c r="IXW70" s="226"/>
      <c r="IXX70" s="226"/>
      <c r="IXY70" s="224"/>
      <c r="IXZ70" s="225"/>
      <c r="IYA70" s="226"/>
      <c r="IYB70" s="227"/>
      <c r="IYC70" s="228"/>
      <c r="IYD70" s="228"/>
      <c r="IYE70" s="228"/>
      <c r="IYF70" s="228"/>
      <c r="IYG70" s="228"/>
      <c r="IYH70" s="228"/>
      <c r="IYI70" s="226"/>
      <c r="IYJ70" s="226"/>
      <c r="IYK70" s="224"/>
      <c r="IYL70" s="225"/>
      <c r="IYM70" s="226"/>
      <c r="IYN70" s="227"/>
      <c r="IYO70" s="228"/>
      <c r="IYP70" s="228"/>
      <c r="IYQ70" s="228"/>
      <c r="IYR70" s="228"/>
      <c r="IYS70" s="228"/>
      <c r="IYT70" s="228"/>
      <c r="IYU70" s="226"/>
      <c r="IYV70" s="226"/>
      <c r="IYW70" s="224"/>
      <c r="IYX70" s="225"/>
      <c r="IYY70" s="226"/>
      <c r="IYZ70" s="227"/>
      <c r="IZA70" s="228"/>
      <c r="IZB70" s="228"/>
      <c r="IZC70" s="228"/>
      <c r="IZD70" s="228"/>
      <c r="IZE70" s="228"/>
      <c r="IZF70" s="228"/>
      <c r="IZG70" s="226"/>
      <c r="IZH70" s="226"/>
      <c r="IZI70" s="224"/>
      <c r="IZJ70" s="225"/>
      <c r="IZK70" s="226"/>
      <c r="IZL70" s="227"/>
      <c r="IZM70" s="228"/>
      <c r="IZN70" s="228"/>
      <c r="IZO70" s="228"/>
      <c r="IZP70" s="228"/>
      <c r="IZQ70" s="228"/>
      <c r="IZR70" s="228"/>
      <c r="IZS70" s="226"/>
      <c r="IZT70" s="226"/>
      <c r="IZU70" s="224"/>
      <c r="IZV70" s="225"/>
      <c r="IZW70" s="226"/>
      <c r="IZX70" s="227"/>
      <c r="IZY70" s="228"/>
      <c r="IZZ70" s="228"/>
      <c r="JAA70" s="228"/>
      <c r="JAB70" s="228"/>
      <c r="JAC70" s="228"/>
      <c r="JAD70" s="228"/>
      <c r="JAE70" s="226"/>
      <c r="JAF70" s="226"/>
      <c r="JAG70" s="224"/>
      <c r="JAH70" s="225"/>
      <c r="JAI70" s="226"/>
      <c r="JAJ70" s="227"/>
      <c r="JAK70" s="228"/>
      <c r="JAL70" s="228"/>
      <c r="JAM70" s="228"/>
      <c r="JAN70" s="228"/>
      <c r="JAO70" s="228"/>
      <c r="JAP70" s="228"/>
      <c r="JAQ70" s="226"/>
      <c r="JAR70" s="226"/>
      <c r="JAS70" s="224"/>
      <c r="JAT70" s="225"/>
      <c r="JAU70" s="226"/>
      <c r="JAV70" s="227"/>
      <c r="JAW70" s="228"/>
      <c r="JAX70" s="228"/>
      <c r="JAY70" s="228"/>
      <c r="JAZ70" s="228"/>
      <c r="JBA70" s="228"/>
      <c r="JBB70" s="228"/>
      <c r="JBC70" s="226"/>
      <c r="JBD70" s="226"/>
      <c r="JBE70" s="224"/>
      <c r="JBF70" s="225"/>
      <c r="JBG70" s="226"/>
      <c r="JBH70" s="227"/>
      <c r="JBI70" s="228"/>
      <c r="JBJ70" s="228"/>
      <c r="JBK70" s="228"/>
      <c r="JBL70" s="228"/>
      <c r="JBM70" s="228"/>
      <c r="JBN70" s="228"/>
      <c r="JBO70" s="226"/>
      <c r="JBP70" s="226"/>
      <c r="JBQ70" s="224"/>
      <c r="JBR70" s="225"/>
      <c r="JBS70" s="226"/>
      <c r="JBT70" s="227"/>
      <c r="JBU70" s="228"/>
      <c r="JBV70" s="228"/>
      <c r="JBW70" s="228"/>
      <c r="JBX70" s="228"/>
      <c r="JBY70" s="228"/>
      <c r="JBZ70" s="228"/>
      <c r="JCA70" s="226"/>
      <c r="JCB70" s="226"/>
      <c r="JCC70" s="224"/>
      <c r="JCD70" s="225"/>
      <c r="JCE70" s="226"/>
      <c r="JCF70" s="227"/>
      <c r="JCG70" s="228"/>
      <c r="JCH70" s="228"/>
      <c r="JCI70" s="228"/>
      <c r="JCJ70" s="228"/>
      <c r="JCK70" s="228"/>
      <c r="JCL70" s="228"/>
      <c r="JCM70" s="226"/>
      <c r="JCN70" s="226"/>
      <c r="JCO70" s="224"/>
      <c r="JCP70" s="225"/>
      <c r="JCQ70" s="226"/>
      <c r="JCR70" s="227"/>
      <c r="JCS70" s="228"/>
      <c r="JCT70" s="228"/>
      <c r="JCU70" s="228"/>
      <c r="JCV70" s="228"/>
      <c r="JCW70" s="228"/>
      <c r="JCX70" s="228"/>
      <c r="JCY70" s="226"/>
      <c r="JCZ70" s="226"/>
      <c r="JDA70" s="224"/>
      <c r="JDB70" s="225"/>
      <c r="JDC70" s="226"/>
      <c r="JDD70" s="227"/>
      <c r="JDE70" s="228"/>
      <c r="JDF70" s="228"/>
      <c r="JDG70" s="228"/>
      <c r="JDH70" s="228"/>
      <c r="JDI70" s="228"/>
      <c r="JDJ70" s="228"/>
      <c r="JDK70" s="226"/>
      <c r="JDL70" s="226"/>
      <c r="JDM70" s="224"/>
      <c r="JDN70" s="225"/>
      <c r="JDO70" s="226"/>
      <c r="JDP70" s="227"/>
      <c r="JDQ70" s="228"/>
      <c r="JDR70" s="228"/>
      <c r="JDS70" s="228"/>
      <c r="JDT70" s="228"/>
      <c r="JDU70" s="228"/>
      <c r="JDV70" s="228"/>
      <c r="JDW70" s="226"/>
      <c r="JDX70" s="226"/>
      <c r="JDY70" s="224"/>
      <c r="JDZ70" s="225"/>
      <c r="JEA70" s="226"/>
      <c r="JEB70" s="227"/>
      <c r="JEC70" s="228"/>
      <c r="JED70" s="228"/>
      <c r="JEE70" s="228"/>
      <c r="JEF70" s="228"/>
      <c r="JEG70" s="228"/>
      <c r="JEH70" s="228"/>
      <c r="JEI70" s="226"/>
      <c r="JEJ70" s="226"/>
      <c r="JEK70" s="224"/>
      <c r="JEL70" s="225"/>
      <c r="JEM70" s="226"/>
      <c r="JEN70" s="227"/>
      <c r="JEO70" s="228"/>
      <c r="JEP70" s="228"/>
      <c r="JEQ70" s="228"/>
      <c r="JER70" s="228"/>
      <c r="JES70" s="228"/>
      <c r="JET70" s="228"/>
      <c r="JEU70" s="226"/>
      <c r="JEV70" s="226"/>
      <c r="JEW70" s="224"/>
      <c r="JEX70" s="225"/>
      <c r="JEY70" s="226"/>
      <c r="JEZ70" s="227"/>
      <c r="JFA70" s="228"/>
      <c r="JFB70" s="228"/>
      <c r="JFC70" s="228"/>
      <c r="JFD70" s="228"/>
      <c r="JFE70" s="228"/>
      <c r="JFF70" s="228"/>
      <c r="JFG70" s="226"/>
      <c r="JFH70" s="226"/>
      <c r="JFI70" s="224"/>
      <c r="JFJ70" s="225"/>
      <c r="JFK70" s="226"/>
      <c r="JFL70" s="227"/>
      <c r="JFM70" s="228"/>
      <c r="JFN70" s="228"/>
      <c r="JFO70" s="228"/>
      <c r="JFP70" s="228"/>
      <c r="JFQ70" s="228"/>
      <c r="JFR70" s="228"/>
      <c r="JFS70" s="226"/>
      <c r="JFT70" s="226"/>
      <c r="JFU70" s="224"/>
      <c r="JFV70" s="225"/>
      <c r="JFW70" s="226"/>
      <c r="JFX70" s="227"/>
      <c r="JFY70" s="228"/>
      <c r="JFZ70" s="228"/>
      <c r="JGA70" s="228"/>
      <c r="JGB70" s="228"/>
      <c r="JGC70" s="228"/>
      <c r="JGD70" s="228"/>
      <c r="JGE70" s="226"/>
      <c r="JGF70" s="226"/>
      <c r="JGG70" s="224"/>
      <c r="JGH70" s="225"/>
      <c r="JGI70" s="226"/>
      <c r="JGJ70" s="227"/>
      <c r="JGK70" s="228"/>
      <c r="JGL70" s="228"/>
      <c r="JGM70" s="228"/>
      <c r="JGN70" s="228"/>
      <c r="JGO70" s="228"/>
      <c r="JGP70" s="228"/>
      <c r="JGQ70" s="226"/>
      <c r="JGR70" s="226"/>
      <c r="JGS70" s="224"/>
      <c r="JGT70" s="225"/>
      <c r="JGU70" s="226"/>
      <c r="JGV70" s="227"/>
      <c r="JGW70" s="228"/>
      <c r="JGX70" s="228"/>
      <c r="JGY70" s="228"/>
      <c r="JGZ70" s="228"/>
      <c r="JHA70" s="228"/>
      <c r="JHB70" s="228"/>
      <c r="JHC70" s="226"/>
      <c r="JHD70" s="226"/>
      <c r="JHE70" s="224"/>
      <c r="JHF70" s="225"/>
      <c r="JHG70" s="226"/>
      <c r="JHH70" s="227"/>
      <c r="JHI70" s="228"/>
      <c r="JHJ70" s="228"/>
      <c r="JHK70" s="228"/>
      <c r="JHL70" s="228"/>
      <c r="JHM70" s="228"/>
      <c r="JHN70" s="228"/>
      <c r="JHO70" s="226"/>
      <c r="JHP70" s="226"/>
      <c r="JHQ70" s="224"/>
      <c r="JHR70" s="225"/>
      <c r="JHS70" s="226"/>
      <c r="JHT70" s="227"/>
      <c r="JHU70" s="228"/>
      <c r="JHV70" s="228"/>
      <c r="JHW70" s="228"/>
      <c r="JHX70" s="228"/>
      <c r="JHY70" s="228"/>
      <c r="JHZ70" s="228"/>
      <c r="JIA70" s="226"/>
      <c r="JIB70" s="226"/>
      <c r="JIC70" s="224"/>
      <c r="JID70" s="225"/>
      <c r="JIE70" s="226"/>
      <c r="JIF70" s="227"/>
      <c r="JIG70" s="228"/>
      <c r="JIH70" s="228"/>
      <c r="JII70" s="228"/>
      <c r="JIJ70" s="228"/>
      <c r="JIK70" s="228"/>
      <c r="JIL70" s="228"/>
      <c r="JIM70" s="226"/>
      <c r="JIN70" s="226"/>
      <c r="JIO70" s="224"/>
      <c r="JIP70" s="225"/>
      <c r="JIQ70" s="226"/>
      <c r="JIR70" s="227"/>
      <c r="JIS70" s="228"/>
      <c r="JIT70" s="228"/>
      <c r="JIU70" s="228"/>
      <c r="JIV70" s="228"/>
      <c r="JIW70" s="228"/>
      <c r="JIX70" s="228"/>
      <c r="JIY70" s="226"/>
      <c r="JIZ70" s="226"/>
      <c r="JJA70" s="224"/>
      <c r="JJB70" s="225"/>
      <c r="JJC70" s="226"/>
      <c r="JJD70" s="227"/>
      <c r="JJE70" s="228"/>
      <c r="JJF70" s="228"/>
      <c r="JJG70" s="228"/>
      <c r="JJH70" s="228"/>
      <c r="JJI70" s="228"/>
      <c r="JJJ70" s="228"/>
      <c r="JJK70" s="226"/>
      <c r="JJL70" s="226"/>
      <c r="JJM70" s="224"/>
      <c r="JJN70" s="225"/>
      <c r="JJO70" s="226"/>
      <c r="JJP70" s="227"/>
      <c r="JJQ70" s="228"/>
      <c r="JJR70" s="228"/>
      <c r="JJS70" s="228"/>
      <c r="JJT70" s="228"/>
      <c r="JJU70" s="228"/>
      <c r="JJV70" s="228"/>
      <c r="JJW70" s="226"/>
      <c r="JJX70" s="226"/>
      <c r="JJY70" s="224"/>
      <c r="JJZ70" s="225"/>
      <c r="JKA70" s="226"/>
      <c r="JKB70" s="227"/>
      <c r="JKC70" s="228"/>
      <c r="JKD70" s="228"/>
      <c r="JKE70" s="228"/>
      <c r="JKF70" s="228"/>
      <c r="JKG70" s="228"/>
      <c r="JKH70" s="228"/>
      <c r="JKI70" s="226"/>
      <c r="JKJ70" s="226"/>
      <c r="JKK70" s="224"/>
      <c r="JKL70" s="225"/>
      <c r="JKM70" s="226"/>
      <c r="JKN70" s="227"/>
      <c r="JKO70" s="228"/>
      <c r="JKP70" s="228"/>
      <c r="JKQ70" s="228"/>
      <c r="JKR70" s="228"/>
      <c r="JKS70" s="228"/>
      <c r="JKT70" s="228"/>
      <c r="JKU70" s="226"/>
      <c r="JKV70" s="226"/>
      <c r="JKW70" s="224"/>
      <c r="JKX70" s="225"/>
      <c r="JKY70" s="226"/>
      <c r="JKZ70" s="227"/>
      <c r="JLA70" s="228"/>
      <c r="JLB70" s="228"/>
      <c r="JLC70" s="228"/>
      <c r="JLD70" s="228"/>
      <c r="JLE70" s="228"/>
      <c r="JLF70" s="228"/>
      <c r="JLG70" s="226"/>
      <c r="JLH70" s="226"/>
      <c r="JLI70" s="224"/>
      <c r="JLJ70" s="225"/>
      <c r="JLK70" s="226"/>
      <c r="JLL70" s="227"/>
      <c r="JLM70" s="228"/>
      <c r="JLN70" s="228"/>
      <c r="JLO70" s="228"/>
      <c r="JLP70" s="228"/>
      <c r="JLQ70" s="228"/>
      <c r="JLR70" s="228"/>
      <c r="JLS70" s="226"/>
      <c r="JLT70" s="226"/>
      <c r="JLU70" s="224"/>
      <c r="JLV70" s="225"/>
      <c r="JLW70" s="226"/>
      <c r="JLX70" s="227"/>
      <c r="JLY70" s="228"/>
      <c r="JLZ70" s="228"/>
      <c r="JMA70" s="228"/>
      <c r="JMB70" s="228"/>
      <c r="JMC70" s="228"/>
      <c r="JMD70" s="228"/>
      <c r="JME70" s="226"/>
      <c r="JMF70" s="226"/>
      <c r="JMG70" s="224"/>
      <c r="JMH70" s="225"/>
      <c r="JMI70" s="226"/>
      <c r="JMJ70" s="227"/>
      <c r="JMK70" s="228"/>
      <c r="JML70" s="228"/>
      <c r="JMM70" s="228"/>
      <c r="JMN70" s="228"/>
      <c r="JMO70" s="228"/>
      <c r="JMP70" s="228"/>
      <c r="JMQ70" s="226"/>
      <c r="JMR70" s="226"/>
      <c r="JMS70" s="224"/>
      <c r="JMT70" s="225"/>
      <c r="JMU70" s="226"/>
      <c r="JMV70" s="227"/>
      <c r="JMW70" s="228"/>
      <c r="JMX70" s="228"/>
      <c r="JMY70" s="228"/>
      <c r="JMZ70" s="228"/>
      <c r="JNA70" s="228"/>
      <c r="JNB70" s="228"/>
      <c r="JNC70" s="226"/>
      <c r="JND70" s="226"/>
      <c r="JNE70" s="224"/>
      <c r="JNF70" s="225"/>
      <c r="JNG70" s="226"/>
      <c r="JNH70" s="227"/>
      <c r="JNI70" s="228"/>
      <c r="JNJ70" s="228"/>
      <c r="JNK70" s="228"/>
      <c r="JNL70" s="228"/>
      <c r="JNM70" s="228"/>
      <c r="JNN70" s="228"/>
      <c r="JNO70" s="226"/>
      <c r="JNP70" s="226"/>
      <c r="JNQ70" s="224"/>
      <c r="JNR70" s="225"/>
      <c r="JNS70" s="226"/>
      <c r="JNT70" s="227"/>
      <c r="JNU70" s="228"/>
      <c r="JNV70" s="228"/>
      <c r="JNW70" s="228"/>
      <c r="JNX70" s="228"/>
      <c r="JNY70" s="228"/>
      <c r="JNZ70" s="228"/>
      <c r="JOA70" s="226"/>
      <c r="JOB70" s="226"/>
      <c r="JOC70" s="224"/>
      <c r="JOD70" s="225"/>
      <c r="JOE70" s="226"/>
      <c r="JOF70" s="227"/>
      <c r="JOG70" s="228"/>
      <c r="JOH70" s="228"/>
      <c r="JOI70" s="228"/>
      <c r="JOJ70" s="228"/>
      <c r="JOK70" s="228"/>
      <c r="JOL70" s="228"/>
      <c r="JOM70" s="226"/>
      <c r="JON70" s="226"/>
      <c r="JOO70" s="224"/>
      <c r="JOP70" s="225"/>
      <c r="JOQ70" s="226"/>
      <c r="JOR70" s="227"/>
      <c r="JOS70" s="228"/>
      <c r="JOT70" s="228"/>
      <c r="JOU70" s="228"/>
      <c r="JOV70" s="228"/>
      <c r="JOW70" s="228"/>
      <c r="JOX70" s="228"/>
      <c r="JOY70" s="226"/>
      <c r="JOZ70" s="226"/>
      <c r="JPA70" s="224"/>
      <c r="JPB70" s="225"/>
      <c r="JPC70" s="226"/>
      <c r="JPD70" s="227"/>
      <c r="JPE70" s="228"/>
      <c r="JPF70" s="228"/>
      <c r="JPG70" s="228"/>
      <c r="JPH70" s="228"/>
      <c r="JPI70" s="228"/>
      <c r="JPJ70" s="228"/>
      <c r="JPK70" s="226"/>
      <c r="JPL70" s="226"/>
      <c r="JPM70" s="224"/>
      <c r="JPN70" s="225"/>
      <c r="JPO70" s="226"/>
      <c r="JPP70" s="227"/>
      <c r="JPQ70" s="228"/>
      <c r="JPR70" s="228"/>
      <c r="JPS70" s="228"/>
      <c r="JPT70" s="228"/>
      <c r="JPU70" s="228"/>
      <c r="JPV70" s="228"/>
      <c r="JPW70" s="226"/>
      <c r="JPX70" s="226"/>
      <c r="JPY70" s="224"/>
      <c r="JPZ70" s="225"/>
      <c r="JQA70" s="226"/>
      <c r="JQB70" s="227"/>
      <c r="JQC70" s="228"/>
      <c r="JQD70" s="228"/>
      <c r="JQE70" s="228"/>
      <c r="JQF70" s="228"/>
      <c r="JQG70" s="228"/>
      <c r="JQH70" s="228"/>
      <c r="JQI70" s="226"/>
      <c r="JQJ70" s="226"/>
      <c r="JQK70" s="224"/>
      <c r="JQL70" s="225"/>
      <c r="JQM70" s="226"/>
      <c r="JQN70" s="227"/>
      <c r="JQO70" s="228"/>
      <c r="JQP70" s="228"/>
      <c r="JQQ70" s="228"/>
      <c r="JQR70" s="228"/>
      <c r="JQS70" s="228"/>
      <c r="JQT70" s="228"/>
      <c r="JQU70" s="226"/>
      <c r="JQV70" s="226"/>
      <c r="JQW70" s="224"/>
      <c r="JQX70" s="225"/>
      <c r="JQY70" s="226"/>
      <c r="JQZ70" s="227"/>
      <c r="JRA70" s="228"/>
      <c r="JRB70" s="228"/>
      <c r="JRC70" s="228"/>
      <c r="JRD70" s="228"/>
      <c r="JRE70" s="228"/>
      <c r="JRF70" s="228"/>
      <c r="JRG70" s="226"/>
      <c r="JRH70" s="226"/>
      <c r="JRI70" s="224"/>
      <c r="JRJ70" s="225"/>
      <c r="JRK70" s="226"/>
      <c r="JRL70" s="227"/>
      <c r="JRM70" s="228"/>
      <c r="JRN70" s="228"/>
      <c r="JRO70" s="228"/>
      <c r="JRP70" s="228"/>
      <c r="JRQ70" s="228"/>
      <c r="JRR70" s="228"/>
      <c r="JRS70" s="226"/>
      <c r="JRT70" s="226"/>
      <c r="JRU70" s="224"/>
      <c r="JRV70" s="225"/>
      <c r="JRW70" s="226"/>
      <c r="JRX70" s="227"/>
      <c r="JRY70" s="228"/>
      <c r="JRZ70" s="228"/>
      <c r="JSA70" s="228"/>
      <c r="JSB70" s="228"/>
      <c r="JSC70" s="228"/>
      <c r="JSD70" s="228"/>
      <c r="JSE70" s="226"/>
      <c r="JSF70" s="226"/>
      <c r="JSG70" s="224"/>
      <c r="JSH70" s="225"/>
      <c r="JSI70" s="226"/>
      <c r="JSJ70" s="227"/>
      <c r="JSK70" s="228"/>
      <c r="JSL70" s="228"/>
      <c r="JSM70" s="228"/>
      <c r="JSN70" s="228"/>
      <c r="JSO70" s="228"/>
      <c r="JSP70" s="228"/>
      <c r="JSQ70" s="226"/>
      <c r="JSR70" s="226"/>
      <c r="JSS70" s="224"/>
      <c r="JST70" s="225"/>
      <c r="JSU70" s="226"/>
      <c r="JSV70" s="227"/>
      <c r="JSW70" s="228"/>
      <c r="JSX70" s="228"/>
      <c r="JSY70" s="228"/>
      <c r="JSZ70" s="228"/>
      <c r="JTA70" s="228"/>
      <c r="JTB70" s="228"/>
      <c r="JTC70" s="226"/>
      <c r="JTD70" s="226"/>
      <c r="JTE70" s="224"/>
      <c r="JTF70" s="225"/>
      <c r="JTG70" s="226"/>
      <c r="JTH70" s="227"/>
      <c r="JTI70" s="228"/>
      <c r="JTJ70" s="228"/>
      <c r="JTK70" s="228"/>
      <c r="JTL70" s="228"/>
      <c r="JTM70" s="228"/>
      <c r="JTN70" s="228"/>
      <c r="JTO70" s="226"/>
      <c r="JTP70" s="226"/>
      <c r="JTQ70" s="224"/>
      <c r="JTR70" s="225"/>
      <c r="JTS70" s="226"/>
      <c r="JTT70" s="227"/>
      <c r="JTU70" s="228"/>
      <c r="JTV70" s="228"/>
      <c r="JTW70" s="228"/>
      <c r="JTX70" s="228"/>
      <c r="JTY70" s="228"/>
      <c r="JTZ70" s="228"/>
      <c r="JUA70" s="226"/>
      <c r="JUB70" s="226"/>
      <c r="JUC70" s="224"/>
      <c r="JUD70" s="225"/>
      <c r="JUE70" s="226"/>
      <c r="JUF70" s="227"/>
      <c r="JUG70" s="228"/>
      <c r="JUH70" s="228"/>
      <c r="JUI70" s="228"/>
      <c r="JUJ70" s="228"/>
      <c r="JUK70" s="228"/>
      <c r="JUL70" s="228"/>
      <c r="JUM70" s="226"/>
      <c r="JUN70" s="226"/>
      <c r="JUO70" s="224"/>
      <c r="JUP70" s="225"/>
      <c r="JUQ70" s="226"/>
      <c r="JUR70" s="227"/>
      <c r="JUS70" s="228"/>
      <c r="JUT70" s="228"/>
      <c r="JUU70" s="228"/>
      <c r="JUV70" s="228"/>
      <c r="JUW70" s="228"/>
      <c r="JUX70" s="228"/>
      <c r="JUY70" s="226"/>
      <c r="JUZ70" s="226"/>
      <c r="JVA70" s="224"/>
      <c r="JVB70" s="225"/>
      <c r="JVC70" s="226"/>
      <c r="JVD70" s="227"/>
      <c r="JVE70" s="228"/>
      <c r="JVF70" s="228"/>
      <c r="JVG70" s="228"/>
      <c r="JVH70" s="228"/>
      <c r="JVI70" s="228"/>
      <c r="JVJ70" s="228"/>
      <c r="JVK70" s="226"/>
      <c r="JVL70" s="226"/>
      <c r="JVM70" s="224"/>
      <c r="JVN70" s="225"/>
      <c r="JVO70" s="226"/>
      <c r="JVP70" s="227"/>
      <c r="JVQ70" s="228"/>
      <c r="JVR70" s="228"/>
      <c r="JVS70" s="228"/>
      <c r="JVT70" s="228"/>
      <c r="JVU70" s="228"/>
      <c r="JVV70" s="228"/>
      <c r="JVW70" s="226"/>
      <c r="JVX70" s="226"/>
      <c r="JVY70" s="224"/>
      <c r="JVZ70" s="225"/>
      <c r="JWA70" s="226"/>
      <c r="JWB70" s="227"/>
      <c r="JWC70" s="228"/>
      <c r="JWD70" s="228"/>
      <c r="JWE70" s="228"/>
      <c r="JWF70" s="228"/>
      <c r="JWG70" s="228"/>
      <c r="JWH70" s="228"/>
      <c r="JWI70" s="226"/>
      <c r="JWJ70" s="226"/>
      <c r="JWK70" s="224"/>
      <c r="JWL70" s="225"/>
      <c r="JWM70" s="226"/>
      <c r="JWN70" s="227"/>
      <c r="JWO70" s="228"/>
      <c r="JWP70" s="228"/>
      <c r="JWQ70" s="228"/>
      <c r="JWR70" s="228"/>
      <c r="JWS70" s="228"/>
      <c r="JWT70" s="228"/>
      <c r="JWU70" s="226"/>
      <c r="JWV70" s="226"/>
      <c r="JWW70" s="224"/>
      <c r="JWX70" s="225"/>
      <c r="JWY70" s="226"/>
      <c r="JWZ70" s="227"/>
      <c r="JXA70" s="228"/>
      <c r="JXB70" s="228"/>
      <c r="JXC70" s="228"/>
      <c r="JXD70" s="228"/>
      <c r="JXE70" s="228"/>
      <c r="JXF70" s="228"/>
      <c r="JXG70" s="226"/>
      <c r="JXH70" s="226"/>
      <c r="JXI70" s="224"/>
      <c r="JXJ70" s="225"/>
      <c r="JXK70" s="226"/>
      <c r="JXL70" s="227"/>
      <c r="JXM70" s="228"/>
      <c r="JXN70" s="228"/>
      <c r="JXO70" s="228"/>
      <c r="JXP70" s="228"/>
      <c r="JXQ70" s="228"/>
      <c r="JXR70" s="228"/>
      <c r="JXS70" s="226"/>
      <c r="JXT70" s="226"/>
      <c r="JXU70" s="224"/>
      <c r="JXV70" s="225"/>
      <c r="JXW70" s="226"/>
      <c r="JXX70" s="227"/>
      <c r="JXY70" s="228"/>
      <c r="JXZ70" s="228"/>
      <c r="JYA70" s="228"/>
      <c r="JYB70" s="228"/>
      <c r="JYC70" s="228"/>
      <c r="JYD70" s="228"/>
      <c r="JYE70" s="226"/>
      <c r="JYF70" s="226"/>
      <c r="JYG70" s="224"/>
      <c r="JYH70" s="225"/>
      <c r="JYI70" s="226"/>
      <c r="JYJ70" s="227"/>
      <c r="JYK70" s="228"/>
      <c r="JYL70" s="228"/>
      <c r="JYM70" s="228"/>
      <c r="JYN70" s="228"/>
      <c r="JYO70" s="228"/>
      <c r="JYP70" s="228"/>
      <c r="JYQ70" s="226"/>
      <c r="JYR70" s="226"/>
      <c r="JYS70" s="224"/>
      <c r="JYT70" s="225"/>
      <c r="JYU70" s="226"/>
      <c r="JYV70" s="227"/>
      <c r="JYW70" s="228"/>
      <c r="JYX70" s="228"/>
      <c r="JYY70" s="228"/>
      <c r="JYZ70" s="228"/>
      <c r="JZA70" s="228"/>
      <c r="JZB70" s="228"/>
      <c r="JZC70" s="226"/>
      <c r="JZD70" s="226"/>
      <c r="JZE70" s="224"/>
      <c r="JZF70" s="225"/>
      <c r="JZG70" s="226"/>
      <c r="JZH70" s="227"/>
      <c r="JZI70" s="228"/>
      <c r="JZJ70" s="228"/>
      <c r="JZK70" s="228"/>
      <c r="JZL70" s="228"/>
      <c r="JZM70" s="228"/>
      <c r="JZN70" s="228"/>
      <c r="JZO70" s="226"/>
      <c r="JZP70" s="226"/>
      <c r="JZQ70" s="224"/>
      <c r="JZR70" s="225"/>
      <c r="JZS70" s="226"/>
      <c r="JZT70" s="227"/>
      <c r="JZU70" s="228"/>
      <c r="JZV70" s="228"/>
      <c r="JZW70" s="228"/>
      <c r="JZX70" s="228"/>
      <c r="JZY70" s="228"/>
      <c r="JZZ70" s="228"/>
      <c r="KAA70" s="226"/>
      <c r="KAB70" s="226"/>
      <c r="KAC70" s="224"/>
      <c r="KAD70" s="225"/>
      <c r="KAE70" s="226"/>
      <c r="KAF70" s="227"/>
      <c r="KAG70" s="228"/>
      <c r="KAH70" s="228"/>
      <c r="KAI70" s="228"/>
      <c r="KAJ70" s="228"/>
      <c r="KAK70" s="228"/>
      <c r="KAL70" s="228"/>
      <c r="KAM70" s="226"/>
      <c r="KAN70" s="226"/>
      <c r="KAO70" s="224"/>
      <c r="KAP70" s="225"/>
      <c r="KAQ70" s="226"/>
      <c r="KAR70" s="227"/>
      <c r="KAS70" s="228"/>
      <c r="KAT70" s="228"/>
      <c r="KAU70" s="228"/>
      <c r="KAV70" s="228"/>
      <c r="KAW70" s="228"/>
      <c r="KAX70" s="228"/>
      <c r="KAY70" s="226"/>
      <c r="KAZ70" s="226"/>
      <c r="KBA70" s="224"/>
      <c r="KBB70" s="225"/>
      <c r="KBC70" s="226"/>
      <c r="KBD70" s="227"/>
      <c r="KBE70" s="228"/>
      <c r="KBF70" s="228"/>
      <c r="KBG70" s="228"/>
      <c r="KBH70" s="228"/>
      <c r="KBI70" s="228"/>
      <c r="KBJ70" s="228"/>
      <c r="KBK70" s="226"/>
      <c r="KBL70" s="226"/>
      <c r="KBM70" s="224"/>
      <c r="KBN70" s="225"/>
      <c r="KBO70" s="226"/>
      <c r="KBP70" s="227"/>
      <c r="KBQ70" s="228"/>
      <c r="KBR70" s="228"/>
      <c r="KBS70" s="228"/>
      <c r="KBT70" s="228"/>
      <c r="KBU70" s="228"/>
      <c r="KBV70" s="228"/>
      <c r="KBW70" s="226"/>
      <c r="KBX70" s="226"/>
      <c r="KBY70" s="224"/>
      <c r="KBZ70" s="225"/>
      <c r="KCA70" s="226"/>
      <c r="KCB70" s="227"/>
      <c r="KCC70" s="228"/>
      <c r="KCD70" s="228"/>
      <c r="KCE70" s="228"/>
      <c r="KCF70" s="228"/>
      <c r="KCG70" s="228"/>
      <c r="KCH70" s="228"/>
      <c r="KCI70" s="226"/>
      <c r="KCJ70" s="226"/>
      <c r="KCK70" s="224"/>
      <c r="KCL70" s="225"/>
      <c r="KCM70" s="226"/>
      <c r="KCN70" s="227"/>
      <c r="KCO70" s="228"/>
      <c r="KCP70" s="228"/>
      <c r="KCQ70" s="228"/>
      <c r="KCR70" s="228"/>
      <c r="KCS70" s="228"/>
      <c r="KCT70" s="228"/>
      <c r="KCU70" s="226"/>
      <c r="KCV70" s="226"/>
      <c r="KCW70" s="224"/>
      <c r="KCX70" s="225"/>
      <c r="KCY70" s="226"/>
      <c r="KCZ70" s="227"/>
      <c r="KDA70" s="228"/>
      <c r="KDB70" s="228"/>
      <c r="KDC70" s="228"/>
      <c r="KDD70" s="228"/>
      <c r="KDE70" s="228"/>
      <c r="KDF70" s="228"/>
      <c r="KDG70" s="226"/>
      <c r="KDH70" s="226"/>
      <c r="KDI70" s="224"/>
      <c r="KDJ70" s="225"/>
      <c r="KDK70" s="226"/>
      <c r="KDL70" s="227"/>
      <c r="KDM70" s="228"/>
      <c r="KDN70" s="228"/>
      <c r="KDO70" s="228"/>
      <c r="KDP70" s="228"/>
      <c r="KDQ70" s="228"/>
      <c r="KDR70" s="228"/>
      <c r="KDS70" s="226"/>
      <c r="KDT70" s="226"/>
      <c r="KDU70" s="224"/>
      <c r="KDV70" s="225"/>
      <c r="KDW70" s="226"/>
      <c r="KDX70" s="227"/>
      <c r="KDY70" s="228"/>
      <c r="KDZ70" s="228"/>
      <c r="KEA70" s="228"/>
      <c r="KEB70" s="228"/>
      <c r="KEC70" s="228"/>
      <c r="KED70" s="228"/>
      <c r="KEE70" s="226"/>
      <c r="KEF70" s="226"/>
      <c r="KEG70" s="224"/>
      <c r="KEH70" s="225"/>
      <c r="KEI70" s="226"/>
      <c r="KEJ70" s="227"/>
      <c r="KEK70" s="228"/>
      <c r="KEL70" s="228"/>
      <c r="KEM70" s="228"/>
      <c r="KEN70" s="228"/>
      <c r="KEO70" s="228"/>
      <c r="KEP70" s="228"/>
      <c r="KEQ70" s="226"/>
      <c r="KER70" s="226"/>
      <c r="KES70" s="224"/>
      <c r="KET70" s="225"/>
      <c r="KEU70" s="226"/>
      <c r="KEV70" s="227"/>
      <c r="KEW70" s="228"/>
      <c r="KEX70" s="228"/>
      <c r="KEY70" s="228"/>
      <c r="KEZ70" s="228"/>
      <c r="KFA70" s="228"/>
      <c r="KFB70" s="228"/>
      <c r="KFC70" s="226"/>
      <c r="KFD70" s="226"/>
      <c r="KFE70" s="224"/>
      <c r="KFF70" s="225"/>
      <c r="KFG70" s="226"/>
      <c r="KFH70" s="227"/>
      <c r="KFI70" s="228"/>
      <c r="KFJ70" s="228"/>
      <c r="KFK70" s="228"/>
      <c r="KFL70" s="228"/>
      <c r="KFM70" s="228"/>
      <c r="KFN70" s="228"/>
      <c r="KFO70" s="226"/>
      <c r="KFP70" s="226"/>
      <c r="KFQ70" s="224"/>
      <c r="KFR70" s="225"/>
      <c r="KFS70" s="226"/>
      <c r="KFT70" s="227"/>
      <c r="KFU70" s="228"/>
      <c r="KFV70" s="228"/>
      <c r="KFW70" s="228"/>
      <c r="KFX70" s="228"/>
      <c r="KFY70" s="228"/>
      <c r="KFZ70" s="228"/>
      <c r="KGA70" s="226"/>
      <c r="KGB70" s="226"/>
      <c r="KGC70" s="224"/>
      <c r="KGD70" s="225"/>
      <c r="KGE70" s="226"/>
      <c r="KGF70" s="227"/>
      <c r="KGG70" s="228"/>
      <c r="KGH70" s="228"/>
      <c r="KGI70" s="228"/>
      <c r="KGJ70" s="228"/>
      <c r="KGK70" s="228"/>
      <c r="KGL70" s="228"/>
      <c r="KGM70" s="226"/>
      <c r="KGN70" s="226"/>
      <c r="KGO70" s="224"/>
      <c r="KGP70" s="225"/>
      <c r="KGQ70" s="226"/>
      <c r="KGR70" s="227"/>
      <c r="KGS70" s="228"/>
      <c r="KGT70" s="228"/>
      <c r="KGU70" s="228"/>
      <c r="KGV70" s="228"/>
      <c r="KGW70" s="228"/>
      <c r="KGX70" s="228"/>
      <c r="KGY70" s="226"/>
      <c r="KGZ70" s="226"/>
      <c r="KHA70" s="224"/>
      <c r="KHB70" s="225"/>
      <c r="KHC70" s="226"/>
      <c r="KHD70" s="227"/>
      <c r="KHE70" s="228"/>
      <c r="KHF70" s="228"/>
      <c r="KHG70" s="228"/>
      <c r="KHH70" s="228"/>
      <c r="KHI70" s="228"/>
      <c r="KHJ70" s="228"/>
      <c r="KHK70" s="226"/>
      <c r="KHL70" s="226"/>
      <c r="KHM70" s="224"/>
      <c r="KHN70" s="225"/>
      <c r="KHO70" s="226"/>
      <c r="KHP70" s="227"/>
      <c r="KHQ70" s="228"/>
      <c r="KHR70" s="228"/>
      <c r="KHS70" s="228"/>
      <c r="KHT70" s="228"/>
      <c r="KHU70" s="228"/>
      <c r="KHV70" s="228"/>
      <c r="KHW70" s="226"/>
      <c r="KHX70" s="226"/>
      <c r="KHY70" s="224"/>
      <c r="KHZ70" s="225"/>
      <c r="KIA70" s="226"/>
      <c r="KIB70" s="227"/>
      <c r="KIC70" s="228"/>
      <c r="KID70" s="228"/>
      <c r="KIE70" s="228"/>
      <c r="KIF70" s="228"/>
      <c r="KIG70" s="228"/>
      <c r="KIH70" s="228"/>
      <c r="KII70" s="226"/>
      <c r="KIJ70" s="226"/>
      <c r="KIK70" s="224"/>
      <c r="KIL70" s="225"/>
      <c r="KIM70" s="226"/>
      <c r="KIN70" s="227"/>
      <c r="KIO70" s="228"/>
      <c r="KIP70" s="228"/>
      <c r="KIQ70" s="228"/>
      <c r="KIR70" s="228"/>
      <c r="KIS70" s="228"/>
      <c r="KIT70" s="228"/>
      <c r="KIU70" s="226"/>
      <c r="KIV70" s="226"/>
      <c r="KIW70" s="224"/>
      <c r="KIX70" s="225"/>
      <c r="KIY70" s="226"/>
      <c r="KIZ70" s="227"/>
      <c r="KJA70" s="228"/>
      <c r="KJB70" s="228"/>
      <c r="KJC70" s="228"/>
      <c r="KJD70" s="228"/>
      <c r="KJE70" s="228"/>
      <c r="KJF70" s="228"/>
      <c r="KJG70" s="226"/>
      <c r="KJH70" s="226"/>
      <c r="KJI70" s="224"/>
      <c r="KJJ70" s="225"/>
      <c r="KJK70" s="226"/>
      <c r="KJL70" s="227"/>
      <c r="KJM70" s="228"/>
      <c r="KJN70" s="228"/>
      <c r="KJO70" s="228"/>
      <c r="KJP70" s="228"/>
      <c r="KJQ70" s="228"/>
      <c r="KJR70" s="228"/>
      <c r="KJS70" s="226"/>
      <c r="KJT70" s="226"/>
      <c r="KJU70" s="224"/>
      <c r="KJV70" s="225"/>
      <c r="KJW70" s="226"/>
      <c r="KJX70" s="227"/>
      <c r="KJY70" s="228"/>
      <c r="KJZ70" s="228"/>
      <c r="KKA70" s="228"/>
      <c r="KKB70" s="228"/>
      <c r="KKC70" s="228"/>
      <c r="KKD70" s="228"/>
      <c r="KKE70" s="226"/>
      <c r="KKF70" s="226"/>
      <c r="KKG70" s="224"/>
      <c r="KKH70" s="225"/>
      <c r="KKI70" s="226"/>
      <c r="KKJ70" s="227"/>
      <c r="KKK70" s="228"/>
      <c r="KKL70" s="228"/>
      <c r="KKM70" s="228"/>
      <c r="KKN70" s="228"/>
      <c r="KKO70" s="228"/>
      <c r="KKP70" s="228"/>
      <c r="KKQ70" s="226"/>
      <c r="KKR70" s="226"/>
      <c r="KKS70" s="224"/>
      <c r="KKT70" s="225"/>
      <c r="KKU70" s="226"/>
      <c r="KKV70" s="227"/>
      <c r="KKW70" s="228"/>
      <c r="KKX70" s="228"/>
      <c r="KKY70" s="228"/>
      <c r="KKZ70" s="228"/>
      <c r="KLA70" s="228"/>
      <c r="KLB70" s="228"/>
      <c r="KLC70" s="226"/>
      <c r="KLD70" s="226"/>
      <c r="KLE70" s="224"/>
      <c r="KLF70" s="225"/>
      <c r="KLG70" s="226"/>
      <c r="KLH70" s="227"/>
      <c r="KLI70" s="228"/>
      <c r="KLJ70" s="228"/>
      <c r="KLK70" s="228"/>
      <c r="KLL70" s="228"/>
      <c r="KLM70" s="228"/>
      <c r="KLN70" s="228"/>
      <c r="KLO70" s="226"/>
      <c r="KLP70" s="226"/>
      <c r="KLQ70" s="224"/>
      <c r="KLR70" s="225"/>
      <c r="KLS70" s="226"/>
      <c r="KLT70" s="227"/>
      <c r="KLU70" s="228"/>
      <c r="KLV70" s="228"/>
      <c r="KLW70" s="228"/>
      <c r="KLX70" s="228"/>
      <c r="KLY70" s="228"/>
      <c r="KLZ70" s="228"/>
      <c r="KMA70" s="226"/>
      <c r="KMB70" s="226"/>
      <c r="KMC70" s="224"/>
      <c r="KMD70" s="225"/>
      <c r="KME70" s="226"/>
      <c r="KMF70" s="227"/>
      <c r="KMG70" s="228"/>
      <c r="KMH70" s="228"/>
      <c r="KMI70" s="228"/>
      <c r="KMJ70" s="228"/>
      <c r="KMK70" s="228"/>
      <c r="KML70" s="228"/>
      <c r="KMM70" s="226"/>
      <c r="KMN70" s="226"/>
      <c r="KMO70" s="224"/>
      <c r="KMP70" s="225"/>
      <c r="KMQ70" s="226"/>
      <c r="KMR70" s="227"/>
      <c r="KMS70" s="228"/>
      <c r="KMT70" s="228"/>
      <c r="KMU70" s="228"/>
      <c r="KMV70" s="228"/>
      <c r="KMW70" s="228"/>
      <c r="KMX70" s="228"/>
      <c r="KMY70" s="226"/>
      <c r="KMZ70" s="226"/>
      <c r="KNA70" s="224"/>
      <c r="KNB70" s="225"/>
      <c r="KNC70" s="226"/>
      <c r="KND70" s="227"/>
      <c r="KNE70" s="228"/>
      <c r="KNF70" s="228"/>
      <c r="KNG70" s="228"/>
      <c r="KNH70" s="228"/>
      <c r="KNI70" s="228"/>
      <c r="KNJ70" s="228"/>
      <c r="KNK70" s="226"/>
      <c r="KNL70" s="226"/>
      <c r="KNM70" s="224"/>
      <c r="KNN70" s="225"/>
      <c r="KNO70" s="226"/>
      <c r="KNP70" s="227"/>
      <c r="KNQ70" s="228"/>
      <c r="KNR70" s="228"/>
      <c r="KNS70" s="228"/>
      <c r="KNT70" s="228"/>
      <c r="KNU70" s="228"/>
      <c r="KNV70" s="228"/>
      <c r="KNW70" s="226"/>
      <c r="KNX70" s="226"/>
      <c r="KNY70" s="224"/>
      <c r="KNZ70" s="225"/>
      <c r="KOA70" s="226"/>
      <c r="KOB70" s="227"/>
      <c r="KOC70" s="228"/>
      <c r="KOD70" s="228"/>
      <c r="KOE70" s="228"/>
      <c r="KOF70" s="228"/>
      <c r="KOG70" s="228"/>
      <c r="KOH70" s="228"/>
      <c r="KOI70" s="226"/>
      <c r="KOJ70" s="226"/>
      <c r="KOK70" s="224"/>
      <c r="KOL70" s="225"/>
      <c r="KOM70" s="226"/>
      <c r="KON70" s="227"/>
      <c r="KOO70" s="228"/>
      <c r="KOP70" s="228"/>
      <c r="KOQ70" s="228"/>
      <c r="KOR70" s="228"/>
      <c r="KOS70" s="228"/>
      <c r="KOT70" s="228"/>
      <c r="KOU70" s="226"/>
      <c r="KOV70" s="226"/>
      <c r="KOW70" s="224"/>
      <c r="KOX70" s="225"/>
      <c r="KOY70" s="226"/>
      <c r="KOZ70" s="227"/>
      <c r="KPA70" s="228"/>
      <c r="KPB70" s="228"/>
      <c r="KPC70" s="228"/>
      <c r="KPD70" s="228"/>
      <c r="KPE70" s="228"/>
      <c r="KPF70" s="228"/>
      <c r="KPG70" s="226"/>
      <c r="KPH70" s="226"/>
      <c r="KPI70" s="224"/>
      <c r="KPJ70" s="225"/>
      <c r="KPK70" s="226"/>
      <c r="KPL70" s="227"/>
      <c r="KPM70" s="228"/>
      <c r="KPN70" s="228"/>
      <c r="KPO70" s="228"/>
      <c r="KPP70" s="228"/>
      <c r="KPQ70" s="228"/>
      <c r="KPR70" s="228"/>
      <c r="KPS70" s="226"/>
      <c r="KPT70" s="226"/>
      <c r="KPU70" s="224"/>
      <c r="KPV70" s="225"/>
      <c r="KPW70" s="226"/>
      <c r="KPX70" s="227"/>
      <c r="KPY70" s="228"/>
      <c r="KPZ70" s="228"/>
      <c r="KQA70" s="228"/>
      <c r="KQB70" s="228"/>
      <c r="KQC70" s="228"/>
      <c r="KQD70" s="228"/>
      <c r="KQE70" s="226"/>
      <c r="KQF70" s="226"/>
      <c r="KQG70" s="224"/>
      <c r="KQH70" s="225"/>
      <c r="KQI70" s="226"/>
      <c r="KQJ70" s="227"/>
      <c r="KQK70" s="228"/>
      <c r="KQL70" s="228"/>
      <c r="KQM70" s="228"/>
      <c r="KQN70" s="228"/>
      <c r="KQO70" s="228"/>
      <c r="KQP70" s="228"/>
      <c r="KQQ70" s="226"/>
      <c r="KQR70" s="226"/>
      <c r="KQS70" s="224"/>
      <c r="KQT70" s="225"/>
      <c r="KQU70" s="226"/>
      <c r="KQV70" s="227"/>
      <c r="KQW70" s="228"/>
      <c r="KQX70" s="228"/>
      <c r="KQY70" s="228"/>
      <c r="KQZ70" s="228"/>
      <c r="KRA70" s="228"/>
      <c r="KRB70" s="228"/>
      <c r="KRC70" s="226"/>
      <c r="KRD70" s="226"/>
      <c r="KRE70" s="224"/>
      <c r="KRF70" s="225"/>
      <c r="KRG70" s="226"/>
      <c r="KRH70" s="227"/>
      <c r="KRI70" s="228"/>
      <c r="KRJ70" s="228"/>
      <c r="KRK70" s="228"/>
      <c r="KRL70" s="228"/>
      <c r="KRM70" s="228"/>
      <c r="KRN70" s="228"/>
      <c r="KRO70" s="226"/>
      <c r="KRP70" s="226"/>
      <c r="KRQ70" s="224"/>
      <c r="KRR70" s="225"/>
      <c r="KRS70" s="226"/>
      <c r="KRT70" s="227"/>
      <c r="KRU70" s="228"/>
      <c r="KRV70" s="228"/>
      <c r="KRW70" s="228"/>
      <c r="KRX70" s="228"/>
      <c r="KRY70" s="228"/>
      <c r="KRZ70" s="228"/>
      <c r="KSA70" s="226"/>
      <c r="KSB70" s="226"/>
      <c r="KSC70" s="224"/>
      <c r="KSD70" s="225"/>
      <c r="KSE70" s="226"/>
      <c r="KSF70" s="227"/>
      <c r="KSG70" s="228"/>
      <c r="KSH70" s="228"/>
      <c r="KSI70" s="228"/>
      <c r="KSJ70" s="228"/>
      <c r="KSK70" s="228"/>
      <c r="KSL70" s="228"/>
      <c r="KSM70" s="226"/>
      <c r="KSN70" s="226"/>
      <c r="KSO70" s="224"/>
      <c r="KSP70" s="225"/>
      <c r="KSQ70" s="226"/>
      <c r="KSR70" s="227"/>
      <c r="KSS70" s="228"/>
      <c r="KST70" s="228"/>
      <c r="KSU70" s="228"/>
      <c r="KSV70" s="228"/>
      <c r="KSW70" s="228"/>
      <c r="KSX70" s="228"/>
      <c r="KSY70" s="226"/>
      <c r="KSZ70" s="226"/>
      <c r="KTA70" s="224"/>
      <c r="KTB70" s="225"/>
      <c r="KTC70" s="226"/>
      <c r="KTD70" s="227"/>
      <c r="KTE70" s="228"/>
      <c r="KTF70" s="228"/>
      <c r="KTG70" s="228"/>
      <c r="KTH70" s="228"/>
      <c r="KTI70" s="228"/>
      <c r="KTJ70" s="228"/>
      <c r="KTK70" s="226"/>
      <c r="KTL70" s="226"/>
      <c r="KTM70" s="224"/>
      <c r="KTN70" s="225"/>
      <c r="KTO70" s="226"/>
      <c r="KTP70" s="227"/>
      <c r="KTQ70" s="228"/>
      <c r="KTR70" s="228"/>
      <c r="KTS70" s="228"/>
      <c r="KTT70" s="228"/>
      <c r="KTU70" s="228"/>
      <c r="KTV70" s="228"/>
      <c r="KTW70" s="226"/>
      <c r="KTX70" s="226"/>
      <c r="KTY70" s="224"/>
      <c r="KTZ70" s="225"/>
      <c r="KUA70" s="226"/>
      <c r="KUB70" s="227"/>
      <c r="KUC70" s="228"/>
      <c r="KUD70" s="228"/>
      <c r="KUE70" s="228"/>
      <c r="KUF70" s="228"/>
      <c r="KUG70" s="228"/>
      <c r="KUH70" s="228"/>
      <c r="KUI70" s="226"/>
      <c r="KUJ70" s="226"/>
      <c r="KUK70" s="224"/>
      <c r="KUL70" s="225"/>
      <c r="KUM70" s="226"/>
      <c r="KUN70" s="227"/>
      <c r="KUO70" s="228"/>
      <c r="KUP70" s="228"/>
      <c r="KUQ70" s="228"/>
      <c r="KUR70" s="228"/>
      <c r="KUS70" s="228"/>
      <c r="KUT70" s="228"/>
      <c r="KUU70" s="226"/>
      <c r="KUV70" s="226"/>
      <c r="KUW70" s="224"/>
      <c r="KUX70" s="225"/>
      <c r="KUY70" s="226"/>
      <c r="KUZ70" s="227"/>
      <c r="KVA70" s="228"/>
      <c r="KVB70" s="228"/>
      <c r="KVC70" s="228"/>
      <c r="KVD70" s="228"/>
      <c r="KVE70" s="228"/>
      <c r="KVF70" s="228"/>
      <c r="KVG70" s="226"/>
      <c r="KVH70" s="226"/>
      <c r="KVI70" s="224"/>
      <c r="KVJ70" s="225"/>
      <c r="KVK70" s="226"/>
      <c r="KVL70" s="227"/>
      <c r="KVM70" s="228"/>
      <c r="KVN70" s="228"/>
      <c r="KVO70" s="228"/>
      <c r="KVP70" s="228"/>
      <c r="KVQ70" s="228"/>
      <c r="KVR70" s="228"/>
      <c r="KVS70" s="226"/>
      <c r="KVT70" s="226"/>
      <c r="KVU70" s="224"/>
      <c r="KVV70" s="225"/>
      <c r="KVW70" s="226"/>
      <c r="KVX70" s="227"/>
      <c r="KVY70" s="228"/>
      <c r="KVZ70" s="228"/>
      <c r="KWA70" s="228"/>
      <c r="KWB70" s="228"/>
      <c r="KWC70" s="228"/>
      <c r="KWD70" s="228"/>
      <c r="KWE70" s="226"/>
      <c r="KWF70" s="226"/>
      <c r="KWG70" s="224"/>
      <c r="KWH70" s="225"/>
      <c r="KWI70" s="226"/>
      <c r="KWJ70" s="227"/>
      <c r="KWK70" s="228"/>
      <c r="KWL70" s="228"/>
      <c r="KWM70" s="228"/>
      <c r="KWN70" s="228"/>
      <c r="KWO70" s="228"/>
      <c r="KWP70" s="228"/>
      <c r="KWQ70" s="226"/>
      <c r="KWR70" s="226"/>
      <c r="KWS70" s="224"/>
      <c r="KWT70" s="225"/>
      <c r="KWU70" s="226"/>
      <c r="KWV70" s="227"/>
      <c r="KWW70" s="228"/>
      <c r="KWX70" s="228"/>
      <c r="KWY70" s="228"/>
      <c r="KWZ70" s="228"/>
      <c r="KXA70" s="228"/>
      <c r="KXB70" s="228"/>
      <c r="KXC70" s="226"/>
      <c r="KXD70" s="226"/>
      <c r="KXE70" s="224"/>
      <c r="KXF70" s="225"/>
      <c r="KXG70" s="226"/>
      <c r="KXH70" s="227"/>
      <c r="KXI70" s="228"/>
      <c r="KXJ70" s="228"/>
      <c r="KXK70" s="228"/>
      <c r="KXL70" s="228"/>
      <c r="KXM70" s="228"/>
      <c r="KXN70" s="228"/>
      <c r="KXO70" s="226"/>
      <c r="KXP70" s="226"/>
      <c r="KXQ70" s="224"/>
      <c r="KXR70" s="225"/>
      <c r="KXS70" s="226"/>
      <c r="KXT70" s="227"/>
      <c r="KXU70" s="228"/>
      <c r="KXV70" s="228"/>
      <c r="KXW70" s="228"/>
      <c r="KXX70" s="228"/>
      <c r="KXY70" s="228"/>
      <c r="KXZ70" s="228"/>
      <c r="KYA70" s="226"/>
      <c r="KYB70" s="226"/>
      <c r="KYC70" s="224"/>
      <c r="KYD70" s="225"/>
      <c r="KYE70" s="226"/>
      <c r="KYF70" s="227"/>
      <c r="KYG70" s="228"/>
      <c r="KYH70" s="228"/>
      <c r="KYI70" s="228"/>
      <c r="KYJ70" s="228"/>
      <c r="KYK70" s="228"/>
      <c r="KYL70" s="228"/>
      <c r="KYM70" s="226"/>
      <c r="KYN70" s="226"/>
      <c r="KYO70" s="224"/>
      <c r="KYP70" s="225"/>
      <c r="KYQ70" s="226"/>
      <c r="KYR70" s="227"/>
      <c r="KYS70" s="228"/>
      <c r="KYT70" s="228"/>
      <c r="KYU70" s="228"/>
      <c r="KYV70" s="228"/>
      <c r="KYW70" s="228"/>
      <c r="KYX70" s="228"/>
      <c r="KYY70" s="226"/>
      <c r="KYZ70" s="226"/>
      <c r="KZA70" s="224"/>
      <c r="KZB70" s="225"/>
      <c r="KZC70" s="226"/>
      <c r="KZD70" s="227"/>
      <c r="KZE70" s="228"/>
      <c r="KZF70" s="228"/>
      <c r="KZG70" s="228"/>
      <c r="KZH70" s="228"/>
      <c r="KZI70" s="228"/>
      <c r="KZJ70" s="228"/>
      <c r="KZK70" s="226"/>
      <c r="KZL70" s="226"/>
      <c r="KZM70" s="224"/>
      <c r="KZN70" s="225"/>
      <c r="KZO70" s="226"/>
      <c r="KZP70" s="227"/>
      <c r="KZQ70" s="228"/>
      <c r="KZR70" s="228"/>
      <c r="KZS70" s="228"/>
      <c r="KZT70" s="228"/>
      <c r="KZU70" s="228"/>
      <c r="KZV70" s="228"/>
      <c r="KZW70" s="226"/>
      <c r="KZX70" s="226"/>
      <c r="KZY70" s="224"/>
      <c r="KZZ70" s="225"/>
      <c r="LAA70" s="226"/>
      <c r="LAB70" s="227"/>
      <c r="LAC70" s="228"/>
      <c r="LAD70" s="228"/>
      <c r="LAE70" s="228"/>
      <c r="LAF70" s="228"/>
      <c r="LAG70" s="228"/>
      <c r="LAH70" s="228"/>
      <c r="LAI70" s="226"/>
      <c r="LAJ70" s="226"/>
      <c r="LAK70" s="224"/>
      <c r="LAL70" s="225"/>
      <c r="LAM70" s="226"/>
      <c r="LAN70" s="227"/>
      <c r="LAO70" s="228"/>
      <c r="LAP70" s="228"/>
      <c r="LAQ70" s="228"/>
      <c r="LAR70" s="228"/>
      <c r="LAS70" s="228"/>
      <c r="LAT70" s="228"/>
      <c r="LAU70" s="226"/>
      <c r="LAV70" s="226"/>
      <c r="LAW70" s="224"/>
      <c r="LAX70" s="225"/>
      <c r="LAY70" s="226"/>
      <c r="LAZ70" s="227"/>
      <c r="LBA70" s="228"/>
      <c r="LBB70" s="228"/>
      <c r="LBC70" s="228"/>
      <c r="LBD70" s="228"/>
      <c r="LBE70" s="228"/>
      <c r="LBF70" s="228"/>
      <c r="LBG70" s="226"/>
      <c r="LBH70" s="226"/>
      <c r="LBI70" s="224"/>
      <c r="LBJ70" s="225"/>
      <c r="LBK70" s="226"/>
      <c r="LBL70" s="227"/>
      <c r="LBM70" s="228"/>
      <c r="LBN70" s="228"/>
      <c r="LBO70" s="228"/>
      <c r="LBP70" s="228"/>
      <c r="LBQ70" s="228"/>
      <c r="LBR70" s="228"/>
      <c r="LBS70" s="226"/>
      <c r="LBT70" s="226"/>
      <c r="LBU70" s="224"/>
      <c r="LBV70" s="225"/>
      <c r="LBW70" s="226"/>
      <c r="LBX70" s="227"/>
      <c r="LBY70" s="228"/>
      <c r="LBZ70" s="228"/>
      <c r="LCA70" s="228"/>
      <c r="LCB70" s="228"/>
      <c r="LCC70" s="228"/>
      <c r="LCD70" s="228"/>
      <c r="LCE70" s="226"/>
      <c r="LCF70" s="226"/>
      <c r="LCG70" s="224"/>
      <c r="LCH70" s="225"/>
      <c r="LCI70" s="226"/>
      <c r="LCJ70" s="227"/>
      <c r="LCK70" s="228"/>
      <c r="LCL70" s="228"/>
      <c r="LCM70" s="228"/>
      <c r="LCN70" s="228"/>
      <c r="LCO70" s="228"/>
      <c r="LCP70" s="228"/>
      <c r="LCQ70" s="226"/>
      <c r="LCR70" s="226"/>
      <c r="LCS70" s="224"/>
      <c r="LCT70" s="225"/>
      <c r="LCU70" s="226"/>
      <c r="LCV70" s="227"/>
      <c r="LCW70" s="228"/>
      <c r="LCX70" s="228"/>
      <c r="LCY70" s="228"/>
      <c r="LCZ70" s="228"/>
      <c r="LDA70" s="228"/>
      <c r="LDB70" s="228"/>
      <c r="LDC70" s="226"/>
      <c r="LDD70" s="226"/>
      <c r="LDE70" s="224"/>
      <c r="LDF70" s="225"/>
      <c r="LDG70" s="226"/>
      <c r="LDH70" s="227"/>
      <c r="LDI70" s="228"/>
      <c r="LDJ70" s="228"/>
      <c r="LDK70" s="228"/>
      <c r="LDL70" s="228"/>
      <c r="LDM70" s="228"/>
      <c r="LDN70" s="228"/>
      <c r="LDO70" s="226"/>
      <c r="LDP70" s="226"/>
      <c r="LDQ70" s="224"/>
      <c r="LDR70" s="225"/>
      <c r="LDS70" s="226"/>
      <c r="LDT70" s="227"/>
      <c r="LDU70" s="228"/>
      <c r="LDV70" s="228"/>
      <c r="LDW70" s="228"/>
      <c r="LDX70" s="228"/>
      <c r="LDY70" s="228"/>
      <c r="LDZ70" s="228"/>
      <c r="LEA70" s="226"/>
      <c r="LEB70" s="226"/>
      <c r="LEC70" s="224"/>
      <c r="LED70" s="225"/>
      <c r="LEE70" s="226"/>
      <c r="LEF70" s="227"/>
      <c r="LEG70" s="228"/>
      <c r="LEH70" s="228"/>
      <c r="LEI70" s="228"/>
      <c r="LEJ70" s="228"/>
      <c r="LEK70" s="228"/>
      <c r="LEL70" s="228"/>
      <c r="LEM70" s="226"/>
      <c r="LEN70" s="226"/>
      <c r="LEO70" s="224"/>
      <c r="LEP70" s="225"/>
      <c r="LEQ70" s="226"/>
      <c r="LER70" s="227"/>
      <c r="LES70" s="228"/>
      <c r="LET70" s="228"/>
      <c r="LEU70" s="228"/>
      <c r="LEV70" s="228"/>
      <c r="LEW70" s="228"/>
      <c r="LEX70" s="228"/>
      <c r="LEY70" s="226"/>
      <c r="LEZ70" s="226"/>
      <c r="LFA70" s="224"/>
      <c r="LFB70" s="225"/>
      <c r="LFC70" s="226"/>
      <c r="LFD70" s="227"/>
      <c r="LFE70" s="228"/>
      <c r="LFF70" s="228"/>
      <c r="LFG70" s="228"/>
      <c r="LFH70" s="228"/>
      <c r="LFI70" s="228"/>
      <c r="LFJ70" s="228"/>
      <c r="LFK70" s="226"/>
      <c r="LFL70" s="226"/>
      <c r="LFM70" s="224"/>
      <c r="LFN70" s="225"/>
      <c r="LFO70" s="226"/>
      <c r="LFP70" s="227"/>
      <c r="LFQ70" s="228"/>
      <c r="LFR70" s="228"/>
      <c r="LFS70" s="228"/>
      <c r="LFT70" s="228"/>
      <c r="LFU70" s="228"/>
      <c r="LFV70" s="228"/>
      <c r="LFW70" s="226"/>
      <c r="LFX70" s="226"/>
      <c r="LFY70" s="224"/>
      <c r="LFZ70" s="225"/>
      <c r="LGA70" s="226"/>
      <c r="LGB70" s="227"/>
      <c r="LGC70" s="228"/>
      <c r="LGD70" s="228"/>
      <c r="LGE70" s="228"/>
      <c r="LGF70" s="228"/>
      <c r="LGG70" s="228"/>
      <c r="LGH70" s="228"/>
      <c r="LGI70" s="226"/>
      <c r="LGJ70" s="226"/>
      <c r="LGK70" s="224"/>
      <c r="LGL70" s="225"/>
      <c r="LGM70" s="226"/>
      <c r="LGN70" s="227"/>
      <c r="LGO70" s="228"/>
      <c r="LGP70" s="228"/>
      <c r="LGQ70" s="228"/>
      <c r="LGR70" s="228"/>
      <c r="LGS70" s="228"/>
      <c r="LGT70" s="228"/>
      <c r="LGU70" s="226"/>
      <c r="LGV70" s="226"/>
      <c r="LGW70" s="224"/>
      <c r="LGX70" s="225"/>
      <c r="LGY70" s="226"/>
      <c r="LGZ70" s="227"/>
      <c r="LHA70" s="228"/>
      <c r="LHB70" s="228"/>
      <c r="LHC70" s="228"/>
      <c r="LHD70" s="228"/>
      <c r="LHE70" s="228"/>
      <c r="LHF70" s="228"/>
      <c r="LHG70" s="226"/>
      <c r="LHH70" s="226"/>
      <c r="LHI70" s="224"/>
      <c r="LHJ70" s="225"/>
      <c r="LHK70" s="226"/>
      <c r="LHL70" s="227"/>
      <c r="LHM70" s="228"/>
      <c r="LHN70" s="228"/>
      <c r="LHO70" s="228"/>
      <c r="LHP70" s="228"/>
      <c r="LHQ70" s="228"/>
      <c r="LHR70" s="228"/>
      <c r="LHS70" s="226"/>
      <c r="LHT70" s="226"/>
      <c r="LHU70" s="224"/>
      <c r="LHV70" s="225"/>
      <c r="LHW70" s="226"/>
      <c r="LHX70" s="227"/>
      <c r="LHY70" s="228"/>
      <c r="LHZ70" s="228"/>
      <c r="LIA70" s="228"/>
      <c r="LIB70" s="228"/>
      <c r="LIC70" s="228"/>
      <c r="LID70" s="228"/>
      <c r="LIE70" s="226"/>
      <c r="LIF70" s="226"/>
      <c r="LIG70" s="224"/>
      <c r="LIH70" s="225"/>
      <c r="LII70" s="226"/>
      <c r="LIJ70" s="227"/>
      <c r="LIK70" s="228"/>
      <c r="LIL70" s="228"/>
      <c r="LIM70" s="228"/>
      <c r="LIN70" s="228"/>
      <c r="LIO70" s="228"/>
      <c r="LIP70" s="228"/>
      <c r="LIQ70" s="226"/>
      <c r="LIR70" s="226"/>
      <c r="LIS70" s="224"/>
      <c r="LIT70" s="225"/>
      <c r="LIU70" s="226"/>
      <c r="LIV70" s="227"/>
      <c r="LIW70" s="228"/>
      <c r="LIX70" s="228"/>
      <c r="LIY70" s="228"/>
      <c r="LIZ70" s="228"/>
      <c r="LJA70" s="228"/>
      <c r="LJB70" s="228"/>
      <c r="LJC70" s="226"/>
      <c r="LJD70" s="226"/>
      <c r="LJE70" s="224"/>
      <c r="LJF70" s="225"/>
      <c r="LJG70" s="226"/>
      <c r="LJH70" s="227"/>
      <c r="LJI70" s="228"/>
      <c r="LJJ70" s="228"/>
      <c r="LJK70" s="228"/>
      <c r="LJL70" s="228"/>
      <c r="LJM70" s="228"/>
      <c r="LJN70" s="228"/>
      <c r="LJO70" s="226"/>
      <c r="LJP70" s="226"/>
      <c r="LJQ70" s="224"/>
      <c r="LJR70" s="225"/>
      <c r="LJS70" s="226"/>
      <c r="LJT70" s="227"/>
      <c r="LJU70" s="228"/>
      <c r="LJV70" s="228"/>
      <c r="LJW70" s="228"/>
      <c r="LJX70" s="228"/>
      <c r="LJY70" s="228"/>
      <c r="LJZ70" s="228"/>
      <c r="LKA70" s="226"/>
      <c r="LKB70" s="226"/>
      <c r="LKC70" s="224"/>
      <c r="LKD70" s="225"/>
      <c r="LKE70" s="226"/>
      <c r="LKF70" s="227"/>
      <c r="LKG70" s="228"/>
      <c r="LKH70" s="228"/>
      <c r="LKI70" s="228"/>
      <c r="LKJ70" s="228"/>
      <c r="LKK70" s="228"/>
      <c r="LKL70" s="228"/>
      <c r="LKM70" s="226"/>
      <c r="LKN70" s="226"/>
      <c r="LKO70" s="224"/>
      <c r="LKP70" s="225"/>
      <c r="LKQ70" s="226"/>
      <c r="LKR70" s="227"/>
      <c r="LKS70" s="228"/>
      <c r="LKT70" s="228"/>
      <c r="LKU70" s="228"/>
      <c r="LKV70" s="228"/>
      <c r="LKW70" s="228"/>
      <c r="LKX70" s="228"/>
      <c r="LKY70" s="226"/>
      <c r="LKZ70" s="226"/>
      <c r="LLA70" s="224"/>
      <c r="LLB70" s="225"/>
      <c r="LLC70" s="226"/>
      <c r="LLD70" s="227"/>
      <c r="LLE70" s="228"/>
      <c r="LLF70" s="228"/>
      <c r="LLG70" s="228"/>
      <c r="LLH70" s="228"/>
      <c r="LLI70" s="228"/>
      <c r="LLJ70" s="228"/>
      <c r="LLK70" s="226"/>
      <c r="LLL70" s="226"/>
      <c r="LLM70" s="224"/>
      <c r="LLN70" s="225"/>
      <c r="LLO70" s="226"/>
      <c r="LLP70" s="227"/>
      <c r="LLQ70" s="228"/>
      <c r="LLR70" s="228"/>
      <c r="LLS70" s="228"/>
      <c r="LLT70" s="228"/>
      <c r="LLU70" s="228"/>
      <c r="LLV70" s="228"/>
      <c r="LLW70" s="226"/>
      <c r="LLX70" s="226"/>
      <c r="LLY70" s="224"/>
      <c r="LLZ70" s="225"/>
      <c r="LMA70" s="226"/>
      <c r="LMB70" s="227"/>
      <c r="LMC70" s="228"/>
      <c r="LMD70" s="228"/>
      <c r="LME70" s="228"/>
      <c r="LMF70" s="228"/>
      <c r="LMG70" s="228"/>
      <c r="LMH70" s="228"/>
      <c r="LMI70" s="226"/>
      <c r="LMJ70" s="226"/>
      <c r="LMK70" s="224"/>
      <c r="LML70" s="225"/>
      <c r="LMM70" s="226"/>
      <c r="LMN70" s="227"/>
      <c r="LMO70" s="228"/>
      <c r="LMP70" s="228"/>
      <c r="LMQ70" s="228"/>
      <c r="LMR70" s="228"/>
      <c r="LMS70" s="228"/>
      <c r="LMT70" s="228"/>
      <c r="LMU70" s="226"/>
      <c r="LMV70" s="226"/>
      <c r="LMW70" s="224"/>
      <c r="LMX70" s="225"/>
      <c r="LMY70" s="226"/>
      <c r="LMZ70" s="227"/>
      <c r="LNA70" s="228"/>
      <c r="LNB70" s="228"/>
      <c r="LNC70" s="228"/>
      <c r="LND70" s="228"/>
      <c r="LNE70" s="228"/>
      <c r="LNF70" s="228"/>
      <c r="LNG70" s="226"/>
      <c r="LNH70" s="226"/>
      <c r="LNI70" s="224"/>
      <c r="LNJ70" s="225"/>
      <c r="LNK70" s="226"/>
      <c r="LNL70" s="227"/>
      <c r="LNM70" s="228"/>
      <c r="LNN70" s="228"/>
      <c r="LNO70" s="228"/>
      <c r="LNP70" s="228"/>
      <c r="LNQ70" s="228"/>
      <c r="LNR70" s="228"/>
      <c r="LNS70" s="226"/>
      <c r="LNT70" s="226"/>
      <c r="LNU70" s="224"/>
      <c r="LNV70" s="225"/>
      <c r="LNW70" s="226"/>
      <c r="LNX70" s="227"/>
      <c r="LNY70" s="228"/>
      <c r="LNZ70" s="228"/>
      <c r="LOA70" s="228"/>
      <c r="LOB70" s="228"/>
      <c r="LOC70" s="228"/>
      <c r="LOD70" s="228"/>
      <c r="LOE70" s="226"/>
      <c r="LOF70" s="226"/>
      <c r="LOG70" s="224"/>
      <c r="LOH70" s="225"/>
      <c r="LOI70" s="226"/>
      <c r="LOJ70" s="227"/>
      <c r="LOK70" s="228"/>
      <c r="LOL70" s="228"/>
      <c r="LOM70" s="228"/>
      <c r="LON70" s="228"/>
      <c r="LOO70" s="228"/>
      <c r="LOP70" s="228"/>
      <c r="LOQ70" s="226"/>
      <c r="LOR70" s="226"/>
      <c r="LOS70" s="224"/>
      <c r="LOT70" s="225"/>
      <c r="LOU70" s="226"/>
      <c r="LOV70" s="227"/>
      <c r="LOW70" s="228"/>
      <c r="LOX70" s="228"/>
      <c r="LOY70" s="228"/>
      <c r="LOZ70" s="228"/>
      <c r="LPA70" s="228"/>
      <c r="LPB70" s="228"/>
      <c r="LPC70" s="226"/>
      <c r="LPD70" s="226"/>
      <c r="LPE70" s="224"/>
      <c r="LPF70" s="225"/>
      <c r="LPG70" s="226"/>
      <c r="LPH70" s="227"/>
      <c r="LPI70" s="228"/>
      <c r="LPJ70" s="228"/>
      <c r="LPK70" s="228"/>
      <c r="LPL70" s="228"/>
      <c r="LPM70" s="228"/>
      <c r="LPN70" s="228"/>
      <c r="LPO70" s="226"/>
      <c r="LPP70" s="226"/>
      <c r="LPQ70" s="224"/>
      <c r="LPR70" s="225"/>
      <c r="LPS70" s="226"/>
      <c r="LPT70" s="227"/>
      <c r="LPU70" s="228"/>
      <c r="LPV70" s="228"/>
      <c r="LPW70" s="228"/>
      <c r="LPX70" s="228"/>
      <c r="LPY70" s="228"/>
      <c r="LPZ70" s="228"/>
      <c r="LQA70" s="226"/>
      <c r="LQB70" s="226"/>
      <c r="LQC70" s="224"/>
      <c r="LQD70" s="225"/>
      <c r="LQE70" s="226"/>
      <c r="LQF70" s="227"/>
      <c r="LQG70" s="228"/>
      <c r="LQH70" s="228"/>
      <c r="LQI70" s="228"/>
      <c r="LQJ70" s="228"/>
      <c r="LQK70" s="228"/>
      <c r="LQL70" s="228"/>
      <c r="LQM70" s="226"/>
      <c r="LQN70" s="226"/>
      <c r="LQO70" s="224"/>
      <c r="LQP70" s="225"/>
      <c r="LQQ70" s="226"/>
      <c r="LQR70" s="227"/>
      <c r="LQS70" s="228"/>
      <c r="LQT70" s="228"/>
      <c r="LQU70" s="228"/>
      <c r="LQV70" s="228"/>
      <c r="LQW70" s="228"/>
      <c r="LQX70" s="228"/>
      <c r="LQY70" s="226"/>
      <c r="LQZ70" s="226"/>
      <c r="LRA70" s="224"/>
      <c r="LRB70" s="225"/>
      <c r="LRC70" s="226"/>
      <c r="LRD70" s="227"/>
      <c r="LRE70" s="228"/>
      <c r="LRF70" s="228"/>
      <c r="LRG70" s="228"/>
      <c r="LRH70" s="228"/>
      <c r="LRI70" s="228"/>
      <c r="LRJ70" s="228"/>
      <c r="LRK70" s="226"/>
      <c r="LRL70" s="226"/>
      <c r="LRM70" s="224"/>
      <c r="LRN70" s="225"/>
      <c r="LRO70" s="226"/>
      <c r="LRP70" s="227"/>
      <c r="LRQ70" s="228"/>
      <c r="LRR70" s="228"/>
      <c r="LRS70" s="228"/>
      <c r="LRT70" s="228"/>
      <c r="LRU70" s="228"/>
      <c r="LRV70" s="228"/>
      <c r="LRW70" s="226"/>
      <c r="LRX70" s="226"/>
      <c r="LRY70" s="224"/>
      <c r="LRZ70" s="225"/>
      <c r="LSA70" s="226"/>
      <c r="LSB70" s="227"/>
      <c r="LSC70" s="228"/>
      <c r="LSD70" s="228"/>
      <c r="LSE70" s="228"/>
      <c r="LSF70" s="228"/>
      <c r="LSG70" s="228"/>
      <c r="LSH70" s="228"/>
      <c r="LSI70" s="226"/>
      <c r="LSJ70" s="226"/>
      <c r="LSK70" s="224"/>
      <c r="LSL70" s="225"/>
      <c r="LSM70" s="226"/>
      <c r="LSN70" s="227"/>
      <c r="LSO70" s="228"/>
      <c r="LSP70" s="228"/>
      <c r="LSQ70" s="228"/>
      <c r="LSR70" s="228"/>
      <c r="LSS70" s="228"/>
      <c r="LST70" s="228"/>
      <c r="LSU70" s="226"/>
      <c r="LSV70" s="226"/>
      <c r="LSW70" s="224"/>
      <c r="LSX70" s="225"/>
      <c r="LSY70" s="226"/>
      <c r="LSZ70" s="227"/>
      <c r="LTA70" s="228"/>
      <c r="LTB70" s="228"/>
      <c r="LTC70" s="228"/>
      <c r="LTD70" s="228"/>
      <c r="LTE70" s="228"/>
      <c r="LTF70" s="228"/>
      <c r="LTG70" s="226"/>
      <c r="LTH70" s="226"/>
      <c r="LTI70" s="224"/>
      <c r="LTJ70" s="225"/>
      <c r="LTK70" s="226"/>
      <c r="LTL70" s="227"/>
      <c r="LTM70" s="228"/>
      <c r="LTN70" s="228"/>
      <c r="LTO70" s="228"/>
      <c r="LTP70" s="228"/>
      <c r="LTQ70" s="228"/>
      <c r="LTR70" s="228"/>
      <c r="LTS70" s="226"/>
      <c r="LTT70" s="226"/>
      <c r="LTU70" s="224"/>
      <c r="LTV70" s="225"/>
      <c r="LTW70" s="226"/>
      <c r="LTX70" s="227"/>
      <c r="LTY70" s="228"/>
      <c r="LTZ70" s="228"/>
      <c r="LUA70" s="228"/>
      <c r="LUB70" s="228"/>
      <c r="LUC70" s="228"/>
      <c r="LUD70" s="228"/>
      <c r="LUE70" s="226"/>
      <c r="LUF70" s="226"/>
      <c r="LUG70" s="224"/>
      <c r="LUH70" s="225"/>
      <c r="LUI70" s="226"/>
      <c r="LUJ70" s="227"/>
      <c r="LUK70" s="228"/>
      <c r="LUL70" s="228"/>
      <c r="LUM70" s="228"/>
      <c r="LUN70" s="228"/>
      <c r="LUO70" s="228"/>
      <c r="LUP70" s="228"/>
      <c r="LUQ70" s="226"/>
      <c r="LUR70" s="226"/>
      <c r="LUS70" s="224"/>
      <c r="LUT70" s="225"/>
      <c r="LUU70" s="226"/>
      <c r="LUV70" s="227"/>
      <c r="LUW70" s="228"/>
      <c r="LUX70" s="228"/>
      <c r="LUY70" s="228"/>
      <c r="LUZ70" s="228"/>
      <c r="LVA70" s="228"/>
      <c r="LVB70" s="228"/>
      <c r="LVC70" s="226"/>
      <c r="LVD70" s="226"/>
      <c r="LVE70" s="224"/>
      <c r="LVF70" s="225"/>
      <c r="LVG70" s="226"/>
      <c r="LVH70" s="227"/>
      <c r="LVI70" s="228"/>
      <c r="LVJ70" s="228"/>
      <c r="LVK70" s="228"/>
      <c r="LVL70" s="228"/>
      <c r="LVM70" s="228"/>
      <c r="LVN70" s="228"/>
      <c r="LVO70" s="226"/>
      <c r="LVP70" s="226"/>
      <c r="LVQ70" s="224"/>
      <c r="LVR70" s="225"/>
      <c r="LVS70" s="226"/>
      <c r="LVT70" s="227"/>
      <c r="LVU70" s="228"/>
      <c r="LVV70" s="228"/>
      <c r="LVW70" s="228"/>
      <c r="LVX70" s="228"/>
      <c r="LVY70" s="228"/>
      <c r="LVZ70" s="228"/>
      <c r="LWA70" s="226"/>
      <c r="LWB70" s="226"/>
      <c r="LWC70" s="224"/>
      <c r="LWD70" s="225"/>
      <c r="LWE70" s="226"/>
      <c r="LWF70" s="227"/>
      <c r="LWG70" s="228"/>
      <c r="LWH70" s="228"/>
      <c r="LWI70" s="228"/>
      <c r="LWJ70" s="228"/>
      <c r="LWK70" s="228"/>
      <c r="LWL70" s="228"/>
      <c r="LWM70" s="226"/>
      <c r="LWN70" s="226"/>
      <c r="LWO70" s="224"/>
      <c r="LWP70" s="225"/>
      <c r="LWQ70" s="226"/>
      <c r="LWR70" s="227"/>
      <c r="LWS70" s="228"/>
      <c r="LWT70" s="228"/>
      <c r="LWU70" s="228"/>
      <c r="LWV70" s="228"/>
      <c r="LWW70" s="228"/>
      <c r="LWX70" s="228"/>
      <c r="LWY70" s="226"/>
      <c r="LWZ70" s="226"/>
      <c r="LXA70" s="224"/>
      <c r="LXB70" s="225"/>
      <c r="LXC70" s="226"/>
      <c r="LXD70" s="227"/>
      <c r="LXE70" s="228"/>
      <c r="LXF70" s="228"/>
      <c r="LXG70" s="228"/>
      <c r="LXH70" s="228"/>
      <c r="LXI70" s="228"/>
      <c r="LXJ70" s="228"/>
      <c r="LXK70" s="226"/>
      <c r="LXL70" s="226"/>
      <c r="LXM70" s="224"/>
      <c r="LXN70" s="225"/>
      <c r="LXO70" s="226"/>
      <c r="LXP70" s="227"/>
      <c r="LXQ70" s="228"/>
      <c r="LXR70" s="228"/>
      <c r="LXS70" s="228"/>
      <c r="LXT70" s="228"/>
      <c r="LXU70" s="228"/>
      <c r="LXV70" s="228"/>
      <c r="LXW70" s="226"/>
      <c r="LXX70" s="226"/>
      <c r="LXY70" s="224"/>
      <c r="LXZ70" s="225"/>
      <c r="LYA70" s="226"/>
      <c r="LYB70" s="227"/>
      <c r="LYC70" s="228"/>
      <c r="LYD70" s="228"/>
      <c r="LYE70" s="228"/>
      <c r="LYF70" s="228"/>
      <c r="LYG70" s="228"/>
      <c r="LYH70" s="228"/>
      <c r="LYI70" s="226"/>
      <c r="LYJ70" s="226"/>
      <c r="LYK70" s="224"/>
      <c r="LYL70" s="225"/>
      <c r="LYM70" s="226"/>
      <c r="LYN70" s="227"/>
      <c r="LYO70" s="228"/>
      <c r="LYP70" s="228"/>
      <c r="LYQ70" s="228"/>
      <c r="LYR70" s="228"/>
      <c r="LYS70" s="228"/>
      <c r="LYT70" s="228"/>
      <c r="LYU70" s="226"/>
      <c r="LYV70" s="226"/>
      <c r="LYW70" s="224"/>
      <c r="LYX70" s="225"/>
      <c r="LYY70" s="226"/>
      <c r="LYZ70" s="227"/>
      <c r="LZA70" s="228"/>
      <c r="LZB70" s="228"/>
      <c r="LZC70" s="228"/>
      <c r="LZD70" s="228"/>
      <c r="LZE70" s="228"/>
      <c r="LZF70" s="228"/>
      <c r="LZG70" s="226"/>
      <c r="LZH70" s="226"/>
      <c r="LZI70" s="224"/>
      <c r="LZJ70" s="225"/>
      <c r="LZK70" s="226"/>
      <c r="LZL70" s="227"/>
      <c r="LZM70" s="228"/>
      <c r="LZN70" s="228"/>
      <c r="LZO70" s="228"/>
      <c r="LZP70" s="228"/>
      <c r="LZQ70" s="228"/>
      <c r="LZR70" s="228"/>
      <c r="LZS70" s="226"/>
      <c r="LZT70" s="226"/>
      <c r="LZU70" s="224"/>
      <c r="LZV70" s="225"/>
      <c r="LZW70" s="226"/>
      <c r="LZX70" s="227"/>
      <c r="LZY70" s="228"/>
      <c r="LZZ70" s="228"/>
      <c r="MAA70" s="228"/>
      <c r="MAB70" s="228"/>
      <c r="MAC70" s="228"/>
      <c r="MAD70" s="228"/>
      <c r="MAE70" s="226"/>
      <c r="MAF70" s="226"/>
      <c r="MAG70" s="224"/>
      <c r="MAH70" s="225"/>
      <c r="MAI70" s="226"/>
      <c r="MAJ70" s="227"/>
      <c r="MAK70" s="228"/>
      <c r="MAL70" s="228"/>
      <c r="MAM70" s="228"/>
      <c r="MAN70" s="228"/>
      <c r="MAO70" s="228"/>
      <c r="MAP70" s="228"/>
      <c r="MAQ70" s="226"/>
      <c r="MAR70" s="226"/>
      <c r="MAS70" s="224"/>
      <c r="MAT70" s="225"/>
      <c r="MAU70" s="226"/>
      <c r="MAV70" s="227"/>
      <c r="MAW70" s="228"/>
      <c r="MAX70" s="228"/>
      <c r="MAY70" s="228"/>
      <c r="MAZ70" s="228"/>
      <c r="MBA70" s="228"/>
      <c r="MBB70" s="228"/>
      <c r="MBC70" s="226"/>
      <c r="MBD70" s="226"/>
      <c r="MBE70" s="224"/>
      <c r="MBF70" s="225"/>
      <c r="MBG70" s="226"/>
      <c r="MBH70" s="227"/>
      <c r="MBI70" s="228"/>
      <c r="MBJ70" s="228"/>
      <c r="MBK70" s="228"/>
      <c r="MBL70" s="228"/>
      <c r="MBM70" s="228"/>
      <c r="MBN70" s="228"/>
      <c r="MBO70" s="226"/>
      <c r="MBP70" s="226"/>
      <c r="MBQ70" s="224"/>
      <c r="MBR70" s="225"/>
      <c r="MBS70" s="226"/>
      <c r="MBT70" s="227"/>
      <c r="MBU70" s="228"/>
      <c r="MBV70" s="228"/>
      <c r="MBW70" s="228"/>
      <c r="MBX70" s="228"/>
      <c r="MBY70" s="228"/>
      <c r="MBZ70" s="228"/>
      <c r="MCA70" s="226"/>
      <c r="MCB70" s="226"/>
      <c r="MCC70" s="224"/>
      <c r="MCD70" s="225"/>
      <c r="MCE70" s="226"/>
      <c r="MCF70" s="227"/>
      <c r="MCG70" s="228"/>
      <c r="MCH70" s="228"/>
      <c r="MCI70" s="228"/>
      <c r="MCJ70" s="228"/>
      <c r="MCK70" s="228"/>
      <c r="MCL70" s="228"/>
      <c r="MCM70" s="226"/>
      <c r="MCN70" s="226"/>
      <c r="MCO70" s="224"/>
      <c r="MCP70" s="225"/>
      <c r="MCQ70" s="226"/>
      <c r="MCR70" s="227"/>
      <c r="MCS70" s="228"/>
      <c r="MCT70" s="228"/>
      <c r="MCU70" s="228"/>
      <c r="MCV70" s="228"/>
      <c r="MCW70" s="228"/>
      <c r="MCX70" s="228"/>
      <c r="MCY70" s="226"/>
      <c r="MCZ70" s="226"/>
      <c r="MDA70" s="224"/>
      <c r="MDB70" s="225"/>
      <c r="MDC70" s="226"/>
      <c r="MDD70" s="227"/>
      <c r="MDE70" s="228"/>
      <c r="MDF70" s="228"/>
      <c r="MDG70" s="228"/>
      <c r="MDH70" s="228"/>
      <c r="MDI70" s="228"/>
      <c r="MDJ70" s="228"/>
      <c r="MDK70" s="226"/>
      <c r="MDL70" s="226"/>
      <c r="MDM70" s="224"/>
      <c r="MDN70" s="225"/>
      <c r="MDO70" s="226"/>
      <c r="MDP70" s="227"/>
      <c r="MDQ70" s="228"/>
      <c r="MDR70" s="228"/>
      <c r="MDS70" s="228"/>
      <c r="MDT70" s="228"/>
      <c r="MDU70" s="228"/>
      <c r="MDV70" s="228"/>
      <c r="MDW70" s="226"/>
      <c r="MDX70" s="226"/>
      <c r="MDY70" s="224"/>
      <c r="MDZ70" s="225"/>
      <c r="MEA70" s="226"/>
      <c r="MEB70" s="227"/>
      <c r="MEC70" s="228"/>
      <c r="MED70" s="228"/>
      <c r="MEE70" s="228"/>
      <c r="MEF70" s="228"/>
      <c r="MEG70" s="228"/>
      <c r="MEH70" s="228"/>
      <c r="MEI70" s="226"/>
      <c r="MEJ70" s="226"/>
      <c r="MEK70" s="224"/>
      <c r="MEL70" s="225"/>
      <c r="MEM70" s="226"/>
      <c r="MEN70" s="227"/>
      <c r="MEO70" s="228"/>
      <c r="MEP70" s="228"/>
      <c r="MEQ70" s="228"/>
      <c r="MER70" s="228"/>
      <c r="MES70" s="228"/>
      <c r="MET70" s="228"/>
      <c r="MEU70" s="226"/>
      <c r="MEV70" s="226"/>
      <c r="MEW70" s="224"/>
      <c r="MEX70" s="225"/>
      <c r="MEY70" s="226"/>
      <c r="MEZ70" s="227"/>
      <c r="MFA70" s="228"/>
      <c r="MFB70" s="228"/>
      <c r="MFC70" s="228"/>
      <c r="MFD70" s="228"/>
      <c r="MFE70" s="228"/>
      <c r="MFF70" s="228"/>
      <c r="MFG70" s="226"/>
      <c r="MFH70" s="226"/>
      <c r="MFI70" s="224"/>
      <c r="MFJ70" s="225"/>
      <c r="MFK70" s="226"/>
      <c r="MFL70" s="227"/>
      <c r="MFM70" s="228"/>
      <c r="MFN70" s="228"/>
      <c r="MFO70" s="228"/>
      <c r="MFP70" s="228"/>
      <c r="MFQ70" s="228"/>
      <c r="MFR70" s="228"/>
      <c r="MFS70" s="226"/>
      <c r="MFT70" s="226"/>
      <c r="MFU70" s="224"/>
      <c r="MFV70" s="225"/>
      <c r="MFW70" s="226"/>
      <c r="MFX70" s="227"/>
      <c r="MFY70" s="228"/>
      <c r="MFZ70" s="228"/>
      <c r="MGA70" s="228"/>
      <c r="MGB70" s="228"/>
      <c r="MGC70" s="228"/>
      <c r="MGD70" s="228"/>
      <c r="MGE70" s="226"/>
      <c r="MGF70" s="226"/>
      <c r="MGG70" s="224"/>
      <c r="MGH70" s="225"/>
      <c r="MGI70" s="226"/>
      <c r="MGJ70" s="227"/>
      <c r="MGK70" s="228"/>
      <c r="MGL70" s="228"/>
      <c r="MGM70" s="228"/>
      <c r="MGN70" s="228"/>
      <c r="MGO70" s="228"/>
      <c r="MGP70" s="228"/>
      <c r="MGQ70" s="226"/>
      <c r="MGR70" s="226"/>
      <c r="MGS70" s="224"/>
      <c r="MGT70" s="225"/>
      <c r="MGU70" s="226"/>
      <c r="MGV70" s="227"/>
      <c r="MGW70" s="228"/>
      <c r="MGX70" s="228"/>
      <c r="MGY70" s="228"/>
      <c r="MGZ70" s="228"/>
      <c r="MHA70" s="228"/>
      <c r="MHB70" s="228"/>
      <c r="MHC70" s="226"/>
      <c r="MHD70" s="226"/>
      <c r="MHE70" s="224"/>
      <c r="MHF70" s="225"/>
      <c r="MHG70" s="226"/>
      <c r="MHH70" s="227"/>
      <c r="MHI70" s="228"/>
      <c r="MHJ70" s="228"/>
      <c r="MHK70" s="228"/>
      <c r="MHL70" s="228"/>
      <c r="MHM70" s="228"/>
      <c r="MHN70" s="228"/>
      <c r="MHO70" s="226"/>
      <c r="MHP70" s="226"/>
      <c r="MHQ70" s="224"/>
      <c r="MHR70" s="225"/>
      <c r="MHS70" s="226"/>
      <c r="MHT70" s="227"/>
      <c r="MHU70" s="228"/>
      <c r="MHV70" s="228"/>
      <c r="MHW70" s="228"/>
      <c r="MHX70" s="228"/>
      <c r="MHY70" s="228"/>
      <c r="MHZ70" s="228"/>
      <c r="MIA70" s="226"/>
      <c r="MIB70" s="226"/>
      <c r="MIC70" s="224"/>
      <c r="MID70" s="225"/>
      <c r="MIE70" s="226"/>
      <c r="MIF70" s="227"/>
      <c r="MIG70" s="228"/>
      <c r="MIH70" s="228"/>
      <c r="MII70" s="228"/>
      <c r="MIJ70" s="228"/>
      <c r="MIK70" s="228"/>
      <c r="MIL70" s="228"/>
      <c r="MIM70" s="226"/>
      <c r="MIN70" s="226"/>
      <c r="MIO70" s="224"/>
      <c r="MIP70" s="225"/>
      <c r="MIQ70" s="226"/>
      <c r="MIR70" s="227"/>
      <c r="MIS70" s="228"/>
      <c r="MIT70" s="228"/>
      <c r="MIU70" s="228"/>
      <c r="MIV70" s="228"/>
      <c r="MIW70" s="228"/>
      <c r="MIX70" s="228"/>
      <c r="MIY70" s="226"/>
      <c r="MIZ70" s="226"/>
      <c r="MJA70" s="224"/>
      <c r="MJB70" s="225"/>
      <c r="MJC70" s="226"/>
      <c r="MJD70" s="227"/>
      <c r="MJE70" s="228"/>
      <c r="MJF70" s="228"/>
      <c r="MJG70" s="228"/>
      <c r="MJH70" s="228"/>
      <c r="MJI70" s="228"/>
      <c r="MJJ70" s="228"/>
      <c r="MJK70" s="226"/>
      <c r="MJL70" s="226"/>
      <c r="MJM70" s="224"/>
      <c r="MJN70" s="225"/>
      <c r="MJO70" s="226"/>
      <c r="MJP70" s="227"/>
      <c r="MJQ70" s="228"/>
      <c r="MJR70" s="228"/>
      <c r="MJS70" s="228"/>
      <c r="MJT70" s="228"/>
      <c r="MJU70" s="228"/>
      <c r="MJV70" s="228"/>
      <c r="MJW70" s="226"/>
      <c r="MJX70" s="226"/>
      <c r="MJY70" s="224"/>
      <c r="MJZ70" s="225"/>
      <c r="MKA70" s="226"/>
      <c r="MKB70" s="227"/>
      <c r="MKC70" s="228"/>
      <c r="MKD70" s="228"/>
      <c r="MKE70" s="228"/>
      <c r="MKF70" s="228"/>
      <c r="MKG70" s="228"/>
      <c r="MKH70" s="228"/>
      <c r="MKI70" s="226"/>
      <c r="MKJ70" s="226"/>
      <c r="MKK70" s="224"/>
      <c r="MKL70" s="225"/>
      <c r="MKM70" s="226"/>
      <c r="MKN70" s="227"/>
      <c r="MKO70" s="228"/>
      <c r="MKP70" s="228"/>
      <c r="MKQ70" s="228"/>
      <c r="MKR70" s="228"/>
      <c r="MKS70" s="228"/>
      <c r="MKT70" s="228"/>
      <c r="MKU70" s="226"/>
      <c r="MKV70" s="226"/>
      <c r="MKW70" s="224"/>
      <c r="MKX70" s="225"/>
      <c r="MKY70" s="226"/>
      <c r="MKZ70" s="227"/>
      <c r="MLA70" s="228"/>
      <c r="MLB70" s="228"/>
      <c r="MLC70" s="228"/>
      <c r="MLD70" s="228"/>
      <c r="MLE70" s="228"/>
      <c r="MLF70" s="228"/>
      <c r="MLG70" s="226"/>
      <c r="MLH70" s="226"/>
      <c r="MLI70" s="224"/>
      <c r="MLJ70" s="225"/>
      <c r="MLK70" s="226"/>
      <c r="MLL70" s="227"/>
      <c r="MLM70" s="228"/>
      <c r="MLN70" s="228"/>
      <c r="MLO70" s="228"/>
      <c r="MLP70" s="228"/>
      <c r="MLQ70" s="228"/>
      <c r="MLR70" s="228"/>
      <c r="MLS70" s="226"/>
      <c r="MLT70" s="226"/>
      <c r="MLU70" s="224"/>
      <c r="MLV70" s="225"/>
      <c r="MLW70" s="226"/>
      <c r="MLX70" s="227"/>
      <c r="MLY70" s="228"/>
      <c r="MLZ70" s="228"/>
      <c r="MMA70" s="228"/>
      <c r="MMB70" s="228"/>
      <c r="MMC70" s="228"/>
      <c r="MMD70" s="228"/>
      <c r="MME70" s="226"/>
      <c r="MMF70" s="226"/>
      <c r="MMG70" s="224"/>
      <c r="MMH70" s="225"/>
      <c r="MMI70" s="226"/>
      <c r="MMJ70" s="227"/>
      <c r="MMK70" s="228"/>
      <c r="MML70" s="228"/>
      <c r="MMM70" s="228"/>
      <c r="MMN70" s="228"/>
      <c r="MMO70" s="228"/>
      <c r="MMP70" s="228"/>
      <c r="MMQ70" s="226"/>
      <c r="MMR70" s="226"/>
      <c r="MMS70" s="224"/>
      <c r="MMT70" s="225"/>
      <c r="MMU70" s="226"/>
      <c r="MMV70" s="227"/>
      <c r="MMW70" s="228"/>
      <c r="MMX70" s="228"/>
      <c r="MMY70" s="228"/>
      <c r="MMZ70" s="228"/>
      <c r="MNA70" s="228"/>
      <c r="MNB70" s="228"/>
      <c r="MNC70" s="226"/>
      <c r="MND70" s="226"/>
      <c r="MNE70" s="224"/>
      <c r="MNF70" s="225"/>
      <c r="MNG70" s="226"/>
      <c r="MNH70" s="227"/>
      <c r="MNI70" s="228"/>
      <c r="MNJ70" s="228"/>
      <c r="MNK70" s="228"/>
      <c r="MNL70" s="228"/>
      <c r="MNM70" s="228"/>
      <c r="MNN70" s="228"/>
      <c r="MNO70" s="226"/>
      <c r="MNP70" s="226"/>
      <c r="MNQ70" s="224"/>
      <c r="MNR70" s="225"/>
      <c r="MNS70" s="226"/>
      <c r="MNT70" s="227"/>
      <c r="MNU70" s="228"/>
      <c r="MNV70" s="228"/>
      <c r="MNW70" s="228"/>
      <c r="MNX70" s="228"/>
      <c r="MNY70" s="228"/>
      <c r="MNZ70" s="228"/>
      <c r="MOA70" s="226"/>
      <c r="MOB70" s="226"/>
      <c r="MOC70" s="224"/>
      <c r="MOD70" s="225"/>
      <c r="MOE70" s="226"/>
      <c r="MOF70" s="227"/>
      <c r="MOG70" s="228"/>
      <c r="MOH70" s="228"/>
      <c r="MOI70" s="228"/>
      <c r="MOJ70" s="228"/>
      <c r="MOK70" s="228"/>
      <c r="MOL70" s="228"/>
      <c r="MOM70" s="226"/>
      <c r="MON70" s="226"/>
      <c r="MOO70" s="224"/>
      <c r="MOP70" s="225"/>
      <c r="MOQ70" s="226"/>
      <c r="MOR70" s="227"/>
      <c r="MOS70" s="228"/>
      <c r="MOT70" s="228"/>
      <c r="MOU70" s="228"/>
      <c r="MOV70" s="228"/>
      <c r="MOW70" s="228"/>
      <c r="MOX70" s="228"/>
      <c r="MOY70" s="226"/>
      <c r="MOZ70" s="226"/>
      <c r="MPA70" s="224"/>
      <c r="MPB70" s="225"/>
      <c r="MPC70" s="226"/>
      <c r="MPD70" s="227"/>
      <c r="MPE70" s="228"/>
      <c r="MPF70" s="228"/>
      <c r="MPG70" s="228"/>
      <c r="MPH70" s="228"/>
      <c r="MPI70" s="228"/>
      <c r="MPJ70" s="228"/>
      <c r="MPK70" s="226"/>
      <c r="MPL70" s="226"/>
      <c r="MPM70" s="224"/>
      <c r="MPN70" s="225"/>
      <c r="MPO70" s="226"/>
      <c r="MPP70" s="227"/>
      <c r="MPQ70" s="228"/>
      <c r="MPR70" s="228"/>
      <c r="MPS70" s="228"/>
      <c r="MPT70" s="228"/>
      <c r="MPU70" s="228"/>
      <c r="MPV70" s="228"/>
      <c r="MPW70" s="226"/>
      <c r="MPX70" s="226"/>
      <c r="MPY70" s="224"/>
      <c r="MPZ70" s="225"/>
      <c r="MQA70" s="226"/>
      <c r="MQB70" s="227"/>
      <c r="MQC70" s="228"/>
      <c r="MQD70" s="228"/>
      <c r="MQE70" s="228"/>
      <c r="MQF70" s="228"/>
      <c r="MQG70" s="228"/>
      <c r="MQH70" s="228"/>
      <c r="MQI70" s="226"/>
      <c r="MQJ70" s="226"/>
      <c r="MQK70" s="224"/>
      <c r="MQL70" s="225"/>
      <c r="MQM70" s="226"/>
      <c r="MQN70" s="227"/>
      <c r="MQO70" s="228"/>
      <c r="MQP70" s="228"/>
      <c r="MQQ70" s="228"/>
      <c r="MQR70" s="228"/>
      <c r="MQS70" s="228"/>
      <c r="MQT70" s="228"/>
      <c r="MQU70" s="226"/>
      <c r="MQV70" s="226"/>
      <c r="MQW70" s="224"/>
      <c r="MQX70" s="225"/>
      <c r="MQY70" s="226"/>
      <c r="MQZ70" s="227"/>
      <c r="MRA70" s="228"/>
      <c r="MRB70" s="228"/>
      <c r="MRC70" s="228"/>
      <c r="MRD70" s="228"/>
      <c r="MRE70" s="228"/>
      <c r="MRF70" s="228"/>
      <c r="MRG70" s="226"/>
      <c r="MRH70" s="226"/>
      <c r="MRI70" s="224"/>
      <c r="MRJ70" s="225"/>
      <c r="MRK70" s="226"/>
      <c r="MRL70" s="227"/>
      <c r="MRM70" s="228"/>
      <c r="MRN70" s="228"/>
      <c r="MRO70" s="228"/>
      <c r="MRP70" s="228"/>
      <c r="MRQ70" s="228"/>
      <c r="MRR70" s="228"/>
      <c r="MRS70" s="226"/>
      <c r="MRT70" s="226"/>
      <c r="MRU70" s="224"/>
      <c r="MRV70" s="225"/>
      <c r="MRW70" s="226"/>
      <c r="MRX70" s="227"/>
      <c r="MRY70" s="228"/>
      <c r="MRZ70" s="228"/>
      <c r="MSA70" s="228"/>
      <c r="MSB70" s="228"/>
      <c r="MSC70" s="228"/>
      <c r="MSD70" s="228"/>
      <c r="MSE70" s="226"/>
      <c r="MSF70" s="226"/>
      <c r="MSG70" s="224"/>
      <c r="MSH70" s="225"/>
      <c r="MSI70" s="226"/>
      <c r="MSJ70" s="227"/>
      <c r="MSK70" s="228"/>
      <c r="MSL70" s="228"/>
      <c r="MSM70" s="228"/>
      <c r="MSN70" s="228"/>
      <c r="MSO70" s="228"/>
      <c r="MSP70" s="228"/>
      <c r="MSQ70" s="226"/>
      <c r="MSR70" s="226"/>
      <c r="MSS70" s="224"/>
      <c r="MST70" s="225"/>
      <c r="MSU70" s="226"/>
      <c r="MSV70" s="227"/>
      <c r="MSW70" s="228"/>
      <c r="MSX70" s="228"/>
      <c r="MSY70" s="228"/>
      <c r="MSZ70" s="228"/>
      <c r="MTA70" s="228"/>
      <c r="MTB70" s="228"/>
      <c r="MTC70" s="226"/>
      <c r="MTD70" s="226"/>
      <c r="MTE70" s="224"/>
      <c r="MTF70" s="225"/>
      <c r="MTG70" s="226"/>
      <c r="MTH70" s="227"/>
      <c r="MTI70" s="228"/>
      <c r="MTJ70" s="228"/>
      <c r="MTK70" s="228"/>
      <c r="MTL70" s="228"/>
      <c r="MTM70" s="228"/>
      <c r="MTN70" s="228"/>
      <c r="MTO70" s="226"/>
      <c r="MTP70" s="226"/>
      <c r="MTQ70" s="224"/>
      <c r="MTR70" s="225"/>
      <c r="MTS70" s="226"/>
      <c r="MTT70" s="227"/>
      <c r="MTU70" s="228"/>
      <c r="MTV70" s="228"/>
      <c r="MTW70" s="228"/>
      <c r="MTX70" s="228"/>
      <c r="MTY70" s="228"/>
      <c r="MTZ70" s="228"/>
      <c r="MUA70" s="226"/>
      <c r="MUB70" s="226"/>
      <c r="MUC70" s="224"/>
      <c r="MUD70" s="225"/>
      <c r="MUE70" s="226"/>
      <c r="MUF70" s="227"/>
      <c r="MUG70" s="228"/>
      <c r="MUH70" s="228"/>
      <c r="MUI70" s="228"/>
      <c r="MUJ70" s="228"/>
      <c r="MUK70" s="228"/>
      <c r="MUL70" s="228"/>
      <c r="MUM70" s="226"/>
      <c r="MUN70" s="226"/>
      <c r="MUO70" s="224"/>
      <c r="MUP70" s="225"/>
      <c r="MUQ70" s="226"/>
      <c r="MUR70" s="227"/>
      <c r="MUS70" s="228"/>
      <c r="MUT70" s="228"/>
      <c r="MUU70" s="228"/>
      <c r="MUV70" s="228"/>
      <c r="MUW70" s="228"/>
      <c r="MUX70" s="228"/>
      <c r="MUY70" s="226"/>
      <c r="MUZ70" s="226"/>
      <c r="MVA70" s="224"/>
      <c r="MVB70" s="225"/>
      <c r="MVC70" s="226"/>
      <c r="MVD70" s="227"/>
      <c r="MVE70" s="228"/>
      <c r="MVF70" s="228"/>
      <c r="MVG70" s="228"/>
      <c r="MVH70" s="228"/>
      <c r="MVI70" s="228"/>
      <c r="MVJ70" s="228"/>
      <c r="MVK70" s="226"/>
      <c r="MVL70" s="226"/>
      <c r="MVM70" s="224"/>
      <c r="MVN70" s="225"/>
      <c r="MVO70" s="226"/>
      <c r="MVP70" s="227"/>
      <c r="MVQ70" s="228"/>
      <c r="MVR70" s="228"/>
      <c r="MVS70" s="228"/>
      <c r="MVT70" s="228"/>
      <c r="MVU70" s="228"/>
      <c r="MVV70" s="228"/>
      <c r="MVW70" s="226"/>
      <c r="MVX70" s="226"/>
      <c r="MVY70" s="224"/>
      <c r="MVZ70" s="225"/>
      <c r="MWA70" s="226"/>
      <c r="MWB70" s="227"/>
      <c r="MWC70" s="228"/>
      <c r="MWD70" s="228"/>
      <c r="MWE70" s="228"/>
      <c r="MWF70" s="228"/>
      <c r="MWG70" s="228"/>
      <c r="MWH70" s="228"/>
      <c r="MWI70" s="226"/>
      <c r="MWJ70" s="226"/>
      <c r="MWK70" s="224"/>
      <c r="MWL70" s="225"/>
      <c r="MWM70" s="226"/>
      <c r="MWN70" s="227"/>
      <c r="MWO70" s="228"/>
      <c r="MWP70" s="228"/>
      <c r="MWQ70" s="228"/>
      <c r="MWR70" s="228"/>
      <c r="MWS70" s="228"/>
      <c r="MWT70" s="228"/>
      <c r="MWU70" s="226"/>
      <c r="MWV70" s="226"/>
      <c r="MWW70" s="224"/>
      <c r="MWX70" s="225"/>
      <c r="MWY70" s="226"/>
      <c r="MWZ70" s="227"/>
      <c r="MXA70" s="228"/>
      <c r="MXB70" s="228"/>
      <c r="MXC70" s="228"/>
      <c r="MXD70" s="228"/>
      <c r="MXE70" s="228"/>
      <c r="MXF70" s="228"/>
      <c r="MXG70" s="226"/>
      <c r="MXH70" s="226"/>
      <c r="MXI70" s="224"/>
      <c r="MXJ70" s="225"/>
      <c r="MXK70" s="226"/>
      <c r="MXL70" s="227"/>
      <c r="MXM70" s="228"/>
      <c r="MXN70" s="228"/>
      <c r="MXO70" s="228"/>
      <c r="MXP70" s="228"/>
      <c r="MXQ70" s="228"/>
      <c r="MXR70" s="228"/>
      <c r="MXS70" s="226"/>
      <c r="MXT70" s="226"/>
      <c r="MXU70" s="224"/>
      <c r="MXV70" s="225"/>
      <c r="MXW70" s="226"/>
      <c r="MXX70" s="227"/>
      <c r="MXY70" s="228"/>
      <c r="MXZ70" s="228"/>
      <c r="MYA70" s="228"/>
      <c r="MYB70" s="228"/>
      <c r="MYC70" s="228"/>
      <c r="MYD70" s="228"/>
      <c r="MYE70" s="226"/>
      <c r="MYF70" s="226"/>
      <c r="MYG70" s="224"/>
      <c r="MYH70" s="225"/>
      <c r="MYI70" s="226"/>
      <c r="MYJ70" s="227"/>
      <c r="MYK70" s="228"/>
      <c r="MYL70" s="228"/>
      <c r="MYM70" s="228"/>
      <c r="MYN70" s="228"/>
      <c r="MYO70" s="228"/>
      <c r="MYP70" s="228"/>
      <c r="MYQ70" s="226"/>
      <c r="MYR70" s="226"/>
      <c r="MYS70" s="224"/>
      <c r="MYT70" s="225"/>
      <c r="MYU70" s="226"/>
      <c r="MYV70" s="227"/>
      <c r="MYW70" s="228"/>
      <c r="MYX70" s="228"/>
      <c r="MYY70" s="228"/>
      <c r="MYZ70" s="228"/>
      <c r="MZA70" s="228"/>
      <c r="MZB70" s="228"/>
      <c r="MZC70" s="226"/>
      <c r="MZD70" s="226"/>
      <c r="MZE70" s="224"/>
      <c r="MZF70" s="225"/>
      <c r="MZG70" s="226"/>
      <c r="MZH70" s="227"/>
      <c r="MZI70" s="228"/>
      <c r="MZJ70" s="228"/>
      <c r="MZK70" s="228"/>
      <c r="MZL70" s="228"/>
      <c r="MZM70" s="228"/>
      <c r="MZN70" s="228"/>
      <c r="MZO70" s="226"/>
      <c r="MZP70" s="226"/>
      <c r="MZQ70" s="224"/>
      <c r="MZR70" s="225"/>
      <c r="MZS70" s="226"/>
      <c r="MZT70" s="227"/>
      <c r="MZU70" s="228"/>
      <c r="MZV70" s="228"/>
      <c r="MZW70" s="228"/>
      <c r="MZX70" s="228"/>
      <c r="MZY70" s="228"/>
      <c r="MZZ70" s="228"/>
      <c r="NAA70" s="226"/>
      <c r="NAB70" s="226"/>
      <c r="NAC70" s="224"/>
      <c r="NAD70" s="225"/>
      <c r="NAE70" s="226"/>
      <c r="NAF70" s="227"/>
      <c r="NAG70" s="228"/>
      <c r="NAH70" s="228"/>
      <c r="NAI70" s="228"/>
      <c r="NAJ70" s="228"/>
      <c r="NAK70" s="228"/>
      <c r="NAL70" s="228"/>
      <c r="NAM70" s="226"/>
      <c r="NAN70" s="226"/>
      <c r="NAO70" s="224"/>
      <c r="NAP70" s="225"/>
      <c r="NAQ70" s="226"/>
      <c r="NAR70" s="227"/>
      <c r="NAS70" s="228"/>
      <c r="NAT70" s="228"/>
      <c r="NAU70" s="228"/>
      <c r="NAV70" s="228"/>
      <c r="NAW70" s="228"/>
      <c r="NAX70" s="228"/>
      <c r="NAY70" s="226"/>
      <c r="NAZ70" s="226"/>
      <c r="NBA70" s="224"/>
      <c r="NBB70" s="225"/>
      <c r="NBC70" s="226"/>
      <c r="NBD70" s="227"/>
      <c r="NBE70" s="228"/>
      <c r="NBF70" s="228"/>
      <c r="NBG70" s="228"/>
      <c r="NBH70" s="228"/>
      <c r="NBI70" s="228"/>
      <c r="NBJ70" s="228"/>
      <c r="NBK70" s="226"/>
      <c r="NBL70" s="226"/>
      <c r="NBM70" s="224"/>
      <c r="NBN70" s="225"/>
      <c r="NBO70" s="226"/>
      <c r="NBP70" s="227"/>
      <c r="NBQ70" s="228"/>
      <c r="NBR70" s="228"/>
      <c r="NBS70" s="228"/>
      <c r="NBT70" s="228"/>
      <c r="NBU70" s="228"/>
      <c r="NBV70" s="228"/>
      <c r="NBW70" s="226"/>
      <c r="NBX70" s="226"/>
      <c r="NBY70" s="224"/>
      <c r="NBZ70" s="225"/>
      <c r="NCA70" s="226"/>
      <c r="NCB70" s="227"/>
      <c r="NCC70" s="228"/>
      <c r="NCD70" s="228"/>
      <c r="NCE70" s="228"/>
      <c r="NCF70" s="228"/>
      <c r="NCG70" s="228"/>
      <c r="NCH70" s="228"/>
      <c r="NCI70" s="226"/>
      <c r="NCJ70" s="226"/>
      <c r="NCK70" s="224"/>
      <c r="NCL70" s="225"/>
      <c r="NCM70" s="226"/>
      <c r="NCN70" s="227"/>
      <c r="NCO70" s="228"/>
      <c r="NCP70" s="228"/>
      <c r="NCQ70" s="228"/>
      <c r="NCR70" s="228"/>
      <c r="NCS70" s="228"/>
      <c r="NCT70" s="228"/>
      <c r="NCU70" s="226"/>
      <c r="NCV70" s="226"/>
      <c r="NCW70" s="224"/>
      <c r="NCX70" s="225"/>
      <c r="NCY70" s="226"/>
      <c r="NCZ70" s="227"/>
      <c r="NDA70" s="228"/>
      <c r="NDB70" s="228"/>
      <c r="NDC70" s="228"/>
      <c r="NDD70" s="228"/>
      <c r="NDE70" s="228"/>
      <c r="NDF70" s="228"/>
      <c r="NDG70" s="226"/>
      <c r="NDH70" s="226"/>
      <c r="NDI70" s="224"/>
      <c r="NDJ70" s="225"/>
      <c r="NDK70" s="226"/>
      <c r="NDL70" s="227"/>
      <c r="NDM70" s="228"/>
      <c r="NDN70" s="228"/>
      <c r="NDO70" s="228"/>
      <c r="NDP70" s="228"/>
      <c r="NDQ70" s="228"/>
      <c r="NDR70" s="228"/>
      <c r="NDS70" s="226"/>
      <c r="NDT70" s="226"/>
      <c r="NDU70" s="224"/>
      <c r="NDV70" s="225"/>
      <c r="NDW70" s="226"/>
      <c r="NDX70" s="227"/>
      <c r="NDY70" s="228"/>
      <c r="NDZ70" s="228"/>
      <c r="NEA70" s="228"/>
      <c r="NEB70" s="228"/>
      <c r="NEC70" s="228"/>
      <c r="NED70" s="228"/>
      <c r="NEE70" s="226"/>
      <c r="NEF70" s="226"/>
      <c r="NEG70" s="224"/>
      <c r="NEH70" s="225"/>
      <c r="NEI70" s="226"/>
      <c r="NEJ70" s="227"/>
      <c r="NEK70" s="228"/>
      <c r="NEL70" s="228"/>
      <c r="NEM70" s="228"/>
      <c r="NEN70" s="228"/>
      <c r="NEO70" s="228"/>
      <c r="NEP70" s="228"/>
      <c r="NEQ70" s="226"/>
      <c r="NER70" s="226"/>
      <c r="NES70" s="224"/>
      <c r="NET70" s="225"/>
      <c r="NEU70" s="226"/>
      <c r="NEV70" s="227"/>
      <c r="NEW70" s="228"/>
      <c r="NEX70" s="228"/>
      <c r="NEY70" s="228"/>
      <c r="NEZ70" s="228"/>
      <c r="NFA70" s="228"/>
      <c r="NFB70" s="228"/>
      <c r="NFC70" s="226"/>
      <c r="NFD70" s="226"/>
      <c r="NFE70" s="224"/>
      <c r="NFF70" s="225"/>
      <c r="NFG70" s="226"/>
      <c r="NFH70" s="227"/>
      <c r="NFI70" s="228"/>
      <c r="NFJ70" s="228"/>
      <c r="NFK70" s="228"/>
      <c r="NFL70" s="228"/>
      <c r="NFM70" s="228"/>
      <c r="NFN70" s="228"/>
      <c r="NFO70" s="226"/>
      <c r="NFP70" s="226"/>
      <c r="NFQ70" s="224"/>
      <c r="NFR70" s="225"/>
      <c r="NFS70" s="226"/>
      <c r="NFT70" s="227"/>
      <c r="NFU70" s="228"/>
      <c r="NFV70" s="228"/>
      <c r="NFW70" s="228"/>
      <c r="NFX70" s="228"/>
      <c r="NFY70" s="228"/>
      <c r="NFZ70" s="228"/>
      <c r="NGA70" s="226"/>
      <c r="NGB70" s="226"/>
      <c r="NGC70" s="224"/>
      <c r="NGD70" s="225"/>
      <c r="NGE70" s="226"/>
      <c r="NGF70" s="227"/>
      <c r="NGG70" s="228"/>
      <c r="NGH70" s="228"/>
      <c r="NGI70" s="228"/>
      <c r="NGJ70" s="228"/>
      <c r="NGK70" s="228"/>
      <c r="NGL70" s="228"/>
      <c r="NGM70" s="226"/>
      <c r="NGN70" s="226"/>
      <c r="NGO70" s="224"/>
      <c r="NGP70" s="225"/>
      <c r="NGQ70" s="226"/>
      <c r="NGR70" s="227"/>
      <c r="NGS70" s="228"/>
      <c r="NGT70" s="228"/>
      <c r="NGU70" s="228"/>
      <c r="NGV70" s="228"/>
      <c r="NGW70" s="228"/>
      <c r="NGX70" s="228"/>
      <c r="NGY70" s="226"/>
      <c r="NGZ70" s="226"/>
      <c r="NHA70" s="224"/>
      <c r="NHB70" s="225"/>
      <c r="NHC70" s="226"/>
      <c r="NHD70" s="227"/>
      <c r="NHE70" s="228"/>
      <c r="NHF70" s="228"/>
      <c r="NHG70" s="228"/>
      <c r="NHH70" s="228"/>
      <c r="NHI70" s="228"/>
      <c r="NHJ70" s="228"/>
      <c r="NHK70" s="226"/>
      <c r="NHL70" s="226"/>
      <c r="NHM70" s="224"/>
      <c r="NHN70" s="225"/>
      <c r="NHO70" s="226"/>
      <c r="NHP70" s="227"/>
      <c r="NHQ70" s="228"/>
      <c r="NHR70" s="228"/>
      <c r="NHS70" s="228"/>
      <c r="NHT70" s="228"/>
      <c r="NHU70" s="228"/>
      <c r="NHV70" s="228"/>
      <c r="NHW70" s="226"/>
      <c r="NHX70" s="226"/>
      <c r="NHY70" s="224"/>
      <c r="NHZ70" s="225"/>
      <c r="NIA70" s="226"/>
      <c r="NIB70" s="227"/>
      <c r="NIC70" s="228"/>
      <c r="NID70" s="228"/>
      <c r="NIE70" s="228"/>
      <c r="NIF70" s="228"/>
      <c r="NIG70" s="228"/>
      <c r="NIH70" s="228"/>
      <c r="NII70" s="226"/>
      <c r="NIJ70" s="226"/>
      <c r="NIK70" s="224"/>
      <c r="NIL70" s="225"/>
      <c r="NIM70" s="226"/>
      <c r="NIN70" s="227"/>
      <c r="NIO70" s="228"/>
      <c r="NIP70" s="228"/>
      <c r="NIQ70" s="228"/>
      <c r="NIR70" s="228"/>
      <c r="NIS70" s="228"/>
      <c r="NIT70" s="228"/>
      <c r="NIU70" s="226"/>
      <c r="NIV70" s="226"/>
      <c r="NIW70" s="224"/>
      <c r="NIX70" s="225"/>
      <c r="NIY70" s="226"/>
      <c r="NIZ70" s="227"/>
      <c r="NJA70" s="228"/>
      <c r="NJB70" s="228"/>
      <c r="NJC70" s="228"/>
      <c r="NJD70" s="228"/>
      <c r="NJE70" s="228"/>
      <c r="NJF70" s="228"/>
      <c r="NJG70" s="226"/>
      <c r="NJH70" s="226"/>
      <c r="NJI70" s="224"/>
      <c r="NJJ70" s="225"/>
      <c r="NJK70" s="226"/>
      <c r="NJL70" s="227"/>
      <c r="NJM70" s="228"/>
      <c r="NJN70" s="228"/>
      <c r="NJO70" s="228"/>
      <c r="NJP70" s="228"/>
      <c r="NJQ70" s="228"/>
      <c r="NJR70" s="228"/>
      <c r="NJS70" s="226"/>
      <c r="NJT70" s="226"/>
      <c r="NJU70" s="224"/>
      <c r="NJV70" s="225"/>
      <c r="NJW70" s="226"/>
      <c r="NJX70" s="227"/>
      <c r="NJY70" s="228"/>
      <c r="NJZ70" s="228"/>
      <c r="NKA70" s="228"/>
      <c r="NKB70" s="228"/>
      <c r="NKC70" s="228"/>
      <c r="NKD70" s="228"/>
      <c r="NKE70" s="226"/>
      <c r="NKF70" s="226"/>
      <c r="NKG70" s="224"/>
      <c r="NKH70" s="225"/>
      <c r="NKI70" s="226"/>
      <c r="NKJ70" s="227"/>
      <c r="NKK70" s="228"/>
      <c r="NKL70" s="228"/>
      <c r="NKM70" s="228"/>
      <c r="NKN70" s="228"/>
      <c r="NKO70" s="228"/>
      <c r="NKP70" s="228"/>
      <c r="NKQ70" s="226"/>
      <c r="NKR70" s="226"/>
      <c r="NKS70" s="224"/>
      <c r="NKT70" s="225"/>
      <c r="NKU70" s="226"/>
      <c r="NKV70" s="227"/>
      <c r="NKW70" s="228"/>
      <c r="NKX70" s="228"/>
      <c r="NKY70" s="228"/>
      <c r="NKZ70" s="228"/>
      <c r="NLA70" s="228"/>
      <c r="NLB70" s="228"/>
      <c r="NLC70" s="226"/>
      <c r="NLD70" s="226"/>
      <c r="NLE70" s="224"/>
      <c r="NLF70" s="225"/>
      <c r="NLG70" s="226"/>
      <c r="NLH70" s="227"/>
      <c r="NLI70" s="228"/>
      <c r="NLJ70" s="228"/>
      <c r="NLK70" s="228"/>
      <c r="NLL70" s="228"/>
      <c r="NLM70" s="228"/>
      <c r="NLN70" s="228"/>
      <c r="NLO70" s="226"/>
      <c r="NLP70" s="226"/>
      <c r="NLQ70" s="224"/>
      <c r="NLR70" s="225"/>
      <c r="NLS70" s="226"/>
      <c r="NLT70" s="227"/>
      <c r="NLU70" s="228"/>
      <c r="NLV70" s="228"/>
      <c r="NLW70" s="228"/>
      <c r="NLX70" s="228"/>
      <c r="NLY70" s="228"/>
      <c r="NLZ70" s="228"/>
      <c r="NMA70" s="226"/>
      <c r="NMB70" s="226"/>
      <c r="NMC70" s="224"/>
      <c r="NMD70" s="225"/>
      <c r="NME70" s="226"/>
      <c r="NMF70" s="227"/>
      <c r="NMG70" s="228"/>
      <c r="NMH70" s="228"/>
      <c r="NMI70" s="228"/>
      <c r="NMJ70" s="228"/>
      <c r="NMK70" s="228"/>
      <c r="NML70" s="228"/>
      <c r="NMM70" s="226"/>
      <c r="NMN70" s="226"/>
      <c r="NMO70" s="224"/>
      <c r="NMP70" s="225"/>
      <c r="NMQ70" s="226"/>
      <c r="NMR70" s="227"/>
      <c r="NMS70" s="228"/>
      <c r="NMT70" s="228"/>
      <c r="NMU70" s="228"/>
      <c r="NMV70" s="228"/>
      <c r="NMW70" s="228"/>
      <c r="NMX70" s="228"/>
      <c r="NMY70" s="226"/>
      <c r="NMZ70" s="226"/>
      <c r="NNA70" s="224"/>
      <c r="NNB70" s="225"/>
      <c r="NNC70" s="226"/>
      <c r="NND70" s="227"/>
      <c r="NNE70" s="228"/>
      <c r="NNF70" s="228"/>
      <c r="NNG70" s="228"/>
      <c r="NNH70" s="228"/>
      <c r="NNI70" s="228"/>
      <c r="NNJ70" s="228"/>
      <c r="NNK70" s="226"/>
      <c r="NNL70" s="226"/>
      <c r="NNM70" s="224"/>
      <c r="NNN70" s="225"/>
      <c r="NNO70" s="226"/>
      <c r="NNP70" s="227"/>
      <c r="NNQ70" s="228"/>
      <c r="NNR70" s="228"/>
      <c r="NNS70" s="228"/>
      <c r="NNT70" s="228"/>
      <c r="NNU70" s="228"/>
      <c r="NNV70" s="228"/>
      <c r="NNW70" s="226"/>
      <c r="NNX70" s="226"/>
      <c r="NNY70" s="224"/>
      <c r="NNZ70" s="225"/>
      <c r="NOA70" s="226"/>
      <c r="NOB70" s="227"/>
      <c r="NOC70" s="228"/>
      <c r="NOD70" s="228"/>
      <c r="NOE70" s="228"/>
      <c r="NOF70" s="228"/>
      <c r="NOG70" s="228"/>
      <c r="NOH70" s="228"/>
      <c r="NOI70" s="226"/>
      <c r="NOJ70" s="226"/>
      <c r="NOK70" s="224"/>
      <c r="NOL70" s="225"/>
      <c r="NOM70" s="226"/>
      <c r="NON70" s="227"/>
      <c r="NOO70" s="228"/>
      <c r="NOP70" s="228"/>
      <c r="NOQ70" s="228"/>
      <c r="NOR70" s="228"/>
      <c r="NOS70" s="228"/>
      <c r="NOT70" s="228"/>
      <c r="NOU70" s="226"/>
      <c r="NOV70" s="226"/>
      <c r="NOW70" s="224"/>
      <c r="NOX70" s="225"/>
      <c r="NOY70" s="226"/>
      <c r="NOZ70" s="227"/>
      <c r="NPA70" s="228"/>
      <c r="NPB70" s="228"/>
      <c r="NPC70" s="228"/>
      <c r="NPD70" s="228"/>
      <c r="NPE70" s="228"/>
      <c r="NPF70" s="228"/>
      <c r="NPG70" s="226"/>
      <c r="NPH70" s="226"/>
      <c r="NPI70" s="224"/>
      <c r="NPJ70" s="225"/>
      <c r="NPK70" s="226"/>
      <c r="NPL70" s="227"/>
      <c r="NPM70" s="228"/>
      <c r="NPN70" s="228"/>
      <c r="NPO70" s="228"/>
      <c r="NPP70" s="228"/>
      <c r="NPQ70" s="228"/>
      <c r="NPR70" s="228"/>
      <c r="NPS70" s="226"/>
      <c r="NPT70" s="226"/>
      <c r="NPU70" s="224"/>
      <c r="NPV70" s="225"/>
      <c r="NPW70" s="226"/>
      <c r="NPX70" s="227"/>
      <c r="NPY70" s="228"/>
      <c r="NPZ70" s="228"/>
      <c r="NQA70" s="228"/>
      <c r="NQB70" s="228"/>
      <c r="NQC70" s="228"/>
      <c r="NQD70" s="228"/>
      <c r="NQE70" s="226"/>
      <c r="NQF70" s="226"/>
      <c r="NQG70" s="224"/>
      <c r="NQH70" s="225"/>
      <c r="NQI70" s="226"/>
      <c r="NQJ70" s="227"/>
      <c r="NQK70" s="228"/>
      <c r="NQL70" s="228"/>
      <c r="NQM70" s="228"/>
      <c r="NQN70" s="228"/>
      <c r="NQO70" s="228"/>
      <c r="NQP70" s="228"/>
      <c r="NQQ70" s="226"/>
      <c r="NQR70" s="226"/>
      <c r="NQS70" s="224"/>
      <c r="NQT70" s="225"/>
      <c r="NQU70" s="226"/>
      <c r="NQV70" s="227"/>
      <c r="NQW70" s="228"/>
      <c r="NQX70" s="228"/>
      <c r="NQY70" s="228"/>
      <c r="NQZ70" s="228"/>
      <c r="NRA70" s="228"/>
      <c r="NRB70" s="228"/>
      <c r="NRC70" s="226"/>
      <c r="NRD70" s="226"/>
      <c r="NRE70" s="224"/>
      <c r="NRF70" s="225"/>
      <c r="NRG70" s="226"/>
      <c r="NRH70" s="227"/>
      <c r="NRI70" s="228"/>
      <c r="NRJ70" s="228"/>
      <c r="NRK70" s="228"/>
      <c r="NRL70" s="228"/>
      <c r="NRM70" s="228"/>
      <c r="NRN70" s="228"/>
      <c r="NRO70" s="226"/>
      <c r="NRP70" s="226"/>
      <c r="NRQ70" s="224"/>
      <c r="NRR70" s="225"/>
      <c r="NRS70" s="226"/>
      <c r="NRT70" s="227"/>
      <c r="NRU70" s="228"/>
      <c r="NRV70" s="228"/>
      <c r="NRW70" s="228"/>
      <c r="NRX70" s="228"/>
      <c r="NRY70" s="228"/>
      <c r="NRZ70" s="228"/>
      <c r="NSA70" s="226"/>
      <c r="NSB70" s="226"/>
      <c r="NSC70" s="224"/>
      <c r="NSD70" s="225"/>
      <c r="NSE70" s="226"/>
      <c r="NSF70" s="227"/>
      <c r="NSG70" s="228"/>
      <c r="NSH70" s="228"/>
      <c r="NSI70" s="228"/>
      <c r="NSJ70" s="228"/>
      <c r="NSK70" s="228"/>
      <c r="NSL70" s="228"/>
      <c r="NSM70" s="226"/>
      <c r="NSN70" s="226"/>
      <c r="NSO70" s="224"/>
      <c r="NSP70" s="225"/>
      <c r="NSQ70" s="226"/>
      <c r="NSR70" s="227"/>
      <c r="NSS70" s="228"/>
      <c r="NST70" s="228"/>
      <c r="NSU70" s="228"/>
      <c r="NSV70" s="228"/>
      <c r="NSW70" s="228"/>
      <c r="NSX70" s="228"/>
      <c r="NSY70" s="226"/>
      <c r="NSZ70" s="226"/>
      <c r="NTA70" s="224"/>
      <c r="NTB70" s="225"/>
      <c r="NTC70" s="226"/>
      <c r="NTD70" s="227"/>
      <c r="NTE70" s="228"/>
      <c r="NTF70" s="228"/>
      <c r="NTG70" s="228"/>
      <c r="NTH70" s="228"/>
      <c r="NTI70" s="228"/>
      <c r="NTJ70" s="228"/>
      <c r="NTK70" s="226"/>
      <c r="NTL70" s="226"/>
      <c r="NTM70" s="224"/>
      <c r="NTN70" s="225"/>
      <c r="NTO70" s="226"/>
      <c r="NTP70" s="227"/>
      <c r="NTQ70" s="228"/>
      <c r="NTR70" s="228"/>
      <c r="NTS70" s="228"/>
      <c r="NTT70" s="228"/>
      <c r="NTU70" s="228"/>
      <c r="NTV70" s="228"/>
      <c r="NTW70" s="226"/>
      <c r="NTX70" s="226"/>
      <c r="NTY70" s="224"/>
      <c r="NTZ70" s="225"/>
      <c r="NUA70" s="226"/>
      <c r="NUB70" s="227"/>
      <c r="NUC70" s="228"/>
      <c r="NUD70" s="228"/>
      <c r="NUE70" s="228"/>
      <c r="NUF70" s="228"/>
      <c r="NUG70" s="228"/>
      <c r="NUH70" s="228"/>
      <c r="NUI70" s="226"/>
      <c r="NUJ70" s="226"/>
      <c r="NUK70" s="224"/>
      <c r="NUL70" s="225"/>
      <c r="NUM70" s="226"/>
      <c r="NUN70" s="227"/>
      <c r="NUO70" s="228"/>
      <c r="NUP70" s="228"/>
      <c r="NUQ70" s="228"/>
      <c r="NUR70" s="228"/>
      <c r="NUS70" s="228"/>
      <c r="NUT70" s="228"/>
      <c r="NUU70" s="226"/>
      <c r="NUV70" s="226"/>
      <c r="NUW70" s="224"/>
      <c r="NUX70" s="225"/>
      <c r="NUY70" s="226"/>
      <c r="NUZ70" s="227"/>
      <c r="NVA70" s="228"/>
      <c r="NVB70" s="228"/>
      <c r="NVC70" s="228"/>
      <c r="NVD70" s="228"/>
      <c r="NVE70" s="228"/>
      <c r="NVF70" s="228"/>
      <c r="NVG70" s="226"/>
      <c r="NVH70" s="226"/>
      <c r="NVI70" s="224"/>
      <c r="NVJ70" s="225"/>
      <c r="NVK70" s="226"/>
      <c r="NVL70" s="227"/>
      <c r="NVM70" s="228"/>
      <c r="NVN70" s="228"/>
      <c r="NVO70" s="228"/>
      <c r="NVP70" s="228"/>
      <c r="NVQ70" s="228"/>
      <c r="NVR70" s="228"/>
      <c r="NVS70" s="226"/>
      <c r="NVT70" s="226"/>
      <c r="NVU70" s="224"/>
      <c r="NVV70" s="225"/>
      <c r="NVW70" s="226"/>
      <c r="NVX70" s="227"/>
      <c r="NVY70" s="228"/>
      <c r="NVZ70" s="228"/>
      <c r="NWA70" s="228"/>
      <c r="NWB70" s="228"/>
      <c r="NWC70" s="228"/>
      <c r="NWD70" s="228"/>
      <c r="NWE70" s="226"/>
      <c r="NWF70" s="226"/>
      <c r="NWG70" s="224"/>
      <c r="NWH70" s="225"/>
      <c r="NWI70" s="226"/>
      <c r="NWJ70" s="227"/>
      <c r="NWK70" s="228"/>
      <c r="NWL70" s="228"/>
      <c r="NWM70" s="228"/>
      <c r="NWN70" s="228"/>
      <c r="NWO70" s="228"/>
      <c r="NWP70" s="228"/>
      <c r="NWQ70" s="226"/>
      <c r="NWR70" s="226"/>
      <c r="NWS70" s="224"/>
      <c r="NWT70" s="225"/>
      <c r="NWU70" s="226"/>
      <c r="NWV70" s="227"/>
      <c r="NWW70" s="228"/>
      <c r="NWX70" s="228"/>
      <c r="NWY70" s="228"/>
      <c r="NWZ70" s="228"/>
      <c r="NXA70" s="228"/>
      <c r="NXB70" s="228"/>
      <c r="NXC70" s="226"/>
      <c r="NXD70" s="226"/>
      <c r="NXE70" s="224"/>
      <c r="NXF70" s="225"/>
      <c r="NXG70" s="226"/>
      <c r="NXH70" s="227"/>
      <c r="NXI70" s="228"/>
      <c r="NXJ70" s="228"/>
      <c r="NXK70" s="228"/>
      <c r="NXL70" s="228"/>
      <c r="NXM70" s="228"/>
      <c r="NXN70" s="228"/>
      <c r="NXO70" s="226"/>
      <c r="NXP70" s="226"/>
      <c r="NXQ70" s="224"/>
      <c r="NXR70" s="225"/>
      <c r="NXS70" s="226"/>
      <c r="NXT70" s="227"/>
      <c r="NXU70" s="228"/>
      <c r="NXV70" s="228"/>
      <c r="NXW70" s="228"/>
      <c r="NXX70" s="228"/>
      <c r="NXY70" s="228"/>
      <c r="NXZ70" s="228"/>
      <c r="NYA70" s="226"/>
      <c r="NYB70" s="226"/>
      <c r="NYC70" s="224"/>
      <c r="NYD70" s="225"/>
      <c r="NYE70" s="226"/>
      <c r="NYF70" s="227"/>
      <c r="NYG70" s="228"/>
      <c r="NYH70" s="228"/>
      <c r="NYI70" s="228"/>
      <c r="NYJ70" s="228"/>
      <c r="NYK70" s="228"/>
      <c r="NYL70" s="228"/>
      <c r="NYM70" s="226"/>
      <c r="NYN70" s="226"/>
      <c r="NYO70" s="224"/>
      <c r="NYP70" s="225"/>
      <c r="NYQ70" s="226"/>
      <c r="NYR70" s="227"/>
      <c r="NYS70" s="228"/>
      <c r="NYT70" s="228"/>
      <c r="NYU70" s="228"/>
      <c r="NYV70" s="228"/>
      <c r="NYW70" s="228"/>
      <c r="NYX70" s="228"/>
      <c r="NYY70" s="226"/>
      <c r="NYZ70" s="226"/>
      <c r="NZA70" s="224"/>
      <c r="NZB70" s="225"/>
      <c r="NZC70" s="226"/>
      <c r="NZD70" s="227"/>
      <c r="NZE70" s="228"/>
      <c r="NZF70" s="228"/>
      <c r="NZG70" s="228"/>
      <c r="NZH70" s="228"/>
      <c r="NZI70" s="228"/>
      <c r="NZJ70" s="228"/>
      <c r="NZK70" s="226"/>
      <c r="NZL70" s="226"/>
      <c r="NZM70" s="224"/>
      <c r="NZN70" s="225"/>
      <c r="NZO70" s="226"/>
      <c r="NZP70" s="227"/>
      <c r="NZQ70" s="228"/>
      <c r="NZR70" s="228"/>
      <c r="NZS70" s="228"/>
      <c r="NZT70" s="228"/>
      <c r="NZU70" s="228"/>
      <c r="NZV70" s="228"/>
      <c r="NZW70" s="226"/>
      <c r="NZX70" s="226"/>
      <c r="NZY70" s="224"/>
      <c r="NZZ70" s="225"/>
      <c r="OAA70" s="226"/>
      <c r="OAB70" s="227"/>
      <c r="OAC70" s="228"/>
      <c r="OAD70" s="228"/>
      <c r="OAE70" s="228"/>
      <c r="OAF70" s="228"/>
      <c r="OAG70" s="228"/>
      <c r="OAH70" s="228"/>
      <c r="OAI70" s="226"/>
      <c r="OAJ70" s="226"/>
      <c r="OAK70" s="224"/>
      <c r="OAL70" s="225"/>
      <c r="OAM70" s="226"/>
      <c r="OAN70" s="227"/>
      <c r="OAO70" s="228"/>
      <c r="OAP70" s="228"/>
      <c r="OAQ70" s="228"/>
      <c r="OAR70" s="228"/>
      <c r="OAS70" s="228"/>
      <c r="OAT70" s="228"/>
      <c r="OAU70" s="226"/>
      <c r="OAV70" s="226"/>
      <c r="OAW70" s="224"/>
      <c r="OAX70" s="225"/>
      <c r="OAY70" s="226"/>
      <c r="OAZ70" s="227"/>
      <c r="OBA70" s="228"/>
      <c r="OBB70" s="228"/>
      <c r="OBC70" s="228"/>
      <c r="OBD70" s="228"/>
      <c r="OBE70" s="228"/>
      <c r="OBF70" s="228"/>
      <c r="OBG70" s="226"/>
      <c r="OBH70" s="226"/>
      <c r="OBI70" s="224"/>
      <c r="OBJ70" s="225"/>
      <c r="OBK70" s="226"/>
      <c r="OBL70" s="227"/>
      <c r="OBM70" s="228"/>
      <c r="OBN70" s="228"/>
      <c r="OBO70" s="228"/>
      <c r="OBP70" s="228"/>
      <c r="OBQ70" s="228"/>
      <c r="OBR70" s="228"/>
      <c r="OBS70" s="226"/>
      <c r="OBT70" s="226"/>
      <c r="OBU70" s="224"/>
      <c r="OBV70" s="225"/>
      <c r="OBW70" s="226"/>
      <c r="OBX70" s="227"/>
      <c r="OBY70" s="228"/>
      <c r="OBZ70" s="228"/>
      <c r="OCA70" s="228"/>
      <c r="OCB70" s="228"/>
      <c r="OCC70" s="228"/>
      <c r="OCD70" s="228"/>
      <c r="OCE70" s="226"/>
      <c r="OCF70" s="226"/>
      <c r="OCG70" s="224"/>
      <c r="OCH70" s="225"/>
      <c r="OCI70" s="226"/>
      <c r="OCJ70" s="227"/>
      <c r="OCK70" s="228"/>
      <c r="OCL70" s="228"/>
      <c r="OCM70" s="228"/>
      <c r="OCN70" s="228"/>
      <c r="OCO70" s="228"/>
      <c r="OCP70" s="228"/>
      <c r="OCQ70" s="226"/>
      <c r="OCR70" s="226"/>
      <c r="OCS70" s="224"/>
      <c r="OCT70" s="225"/>
      <c r="OCU70" s="226"/>
      <c r="OCV70" s="227"/>
      <c r="OCW70" s="228"/>
      <c r="OCX70" s="228"/>
      <c r="OCY70" s="228"/>
      <c r="OCZ70" s="228"/>
      <c r="ODA70" s="228"/>
      <c r="ODB70" s="228"/>
      <c r="ODC70" s="226"/>
      <c r="ODD70" s="226"/>
      <c r="ODE70" s="224"/>
      <c r="ODF70" s="225"/>
      <c r="ODG70" s="226"/>
      <c r="ODH70" s="227"/>
      <c r="ODI70" s="228"/>
      <c r="ODJ70" s="228"/>
      <c r="ODK70" s="228"/>
      <c r="ODL70" s="228"/>
      <c r="ODM70" s="228"/>
      <c r="ODN70" s="228"/>
      <c r="ODO70" s="226"/>
      <c r="ODP70" s="226"/>
      <c r="ODQ70" s="224"/>
      <c r="ODR70" s="225"/>
      <c r="ODS70" s="226"/>
      <c r="ODT70" s="227"/>
      <c r="ODU70" s="228"/>
      <c r="ODV70" s="228"/>
      <c r="ODW70" s="228"/>
      <c r="ODX70" s="228"/>
      <c r="ODY70" s="228"/>
      <c r="ODZ70" s="228"/>
      <c r="OEA70" s="226"/>
      <c r="OEB70" s="226"/>
      <c r="OEC70" s="224"/>
      <c r="OED70" s="225"/>
      <c r="OEE70" s="226"/>
      <c r="OEF70" s="227"/>
      <c r="OEG70" s="228"/>
      <c r="OEH70" s="228"/>
      <c r="OEI70" s="228"/>
      <c r="OEJ70" s="228"/>
      <c r="OEK70" s="228"/>
      <c r="OEL70" s="228"/>
      <c r="OEM70" s="226"/>
      <c r="OEN70" s="226"/>
      <c r="OEO70" s="224"/>
      <c r="OEP70" s="225"/>
      <c r="OEQ70" s="226"/>
      <c r="OER70" s="227"/>
      <c r="OES70" s="228"/>
      <c r="OET70" s="228"/>
      <c r="OEU70" s="228"/>
      <c r="OEV70" s="228"/>
      <c r="OEW70" s="228"/>
      <c r="OEX70" s="228"/>
      <c r="OEY70" s="226"/>
      <c r="OEZ70" s="226"/>
      <c r="OFA70" s="224"/>
      <c r="OFB70" s="225"/>
      <c r="OFC70" s="226"/>
      <c r="OFD70" s="227"/>
      <c r="OFE70" s="228"/>
      <c r="OFF70" s="228"/>
      <c r="OFG70" s="228"/>
      <c r="OFH70" s="228"/>
      <c r="OFI70" s="228"/>
      <c r="OFJ70" s="228"/>
      <c r="OFK70" s="226"/>
      <c r="OFL70" s="226"/>
      <c r="OFM70" s="224"/>
      <c r="OFN70" s="225"/>
      <c r="OFO70" s="226"/>
      <c r="OFP70" s="227"/>
      <c r="OFQ70" s="228"/>
      <c r="OFR70" s="228"/>
      <c r="OFS70" s="228"/>
      <c r="OFT70" s="228"/>
      <c r="OFU70" s="228"/>
      <c r="OFV70" s="228"/>
      <c r="OFW70" s="226"/>
      <c r="OFX70" s="226"/>
      <c r="OFY70" s="224"/>
      <c r="OFZ70" s="225"/>
      <c r="OGA70" s="226"/>
      <c r="OGB70" s="227"/>
      <c r="OGC70" s="228"/>
      <c r="OGD70" s="228"/>
      <c r="OGE70" s="228"/>
      <c r="OGF70" s="228"/>
      <c r="OGG70" s="228"/>
      <c r="OGH70" s="228"/>
      <c r="OGI70" s="226"/>
      <c r="OGJ70" s="226"/>
      <c r="OGK70" s="224"/>
      <c r="OGL70" s="225"/>
      <c r="OGM70" s="226"/>
      <c r="OGN70" s="227"/>
      <c r="OGO70" s="228"/>
      <c r="OGP70" s="228"/>
      <c r="OGQ70" s="228"/>
      <c r="OGR70" s="228"/>
      <c r="OGS70" s="228"/>
      <c r="OGT70" s="228"/>
      <c r="OGU70" s="226"/>
      <c r="OGV70" s="226"/>
      <c r="OGW70" s="224"/>
      <c r="OGX70" s="225"/>
      <c r="OGY70" s="226"/>
      <c r="OGZ70" s="227"/>
      <c r="OHA70" s="228"/>
      <c r="OHB70" s="228"/>
      <c r="OHC70" s="228"/>
      <c r="OHD70" s="228"/>
      <c r="OHE70" s="228"/>
      <c r="OHF70" s="228"/>
      <c r="OHG70" s="226"/>
      <c r="OHH70" s="226"/>
      <c r="OHI70" s="224"/>
      <c r="OHJ70" s="225"/>
      <c r="OHK70" s="226"/>
      <c r="OHL70" s="227"/>
      <c r="OHM70" s="228"/>
      <c r="OHN70" s="228"/>
      <c r="OHO70" s="228"/>
      <c r="OHP70" s="228"/>
      <c r="OHQ70" s="228"/>
      <c r="OHR70" s="228"/>
      <c r="OHS70" s="226"/>
      <c r="OHT70" s="226"/>
      <c r="OHU70" s="224"/>
      <c r="OHV70" s="225"/>
      <c r="OHW70" s="226"/>
      <c r="OHX70" s="227"/>
      <c r="OHY70" s="228"/>
      <c r="OHZ70" s="228"/>
      <c r="OIA70" s="228"/>
      <c r="OIB70" s="228"/>
      <c r="OIC70" s="228"/>
      <c r="OID70" s="228"/>
      <c r="OIE70" s="226"/>
      <c r="OIF70" s="226"/>
      <c r="OIG70" s="224"/>
      <c r="OIH70" s="225"/>
      <c r="OII70" s="226"/>
      <c r="OIJ70" s="227"/>
      <c r="OIK70" s="228"/>
      <c r="OIL70" s="228"/>
      <c r="OIM70" s="228"/>
      <c r="OIN70" s="228"/>
      <c r="OIO70" s="228"/>
      <c r="OIP70" s="228"/>
      <c r="OIQ70" s="226"/>
      <c r="OIR70" s="226"/>
      <c r="OIS70" s="224"/>
      <c r="OIT70" s="225"/>
      <c r="OIU70" s="226"/>
      <c r="OIV70" s="227"/>
      <c r="OIW70" s="228"/>
      <c r="OIX70" s="228"/>
      <c r="OIY70" s="228"/>
      <c r="OIZ70" s="228"/>
      <c r="OJA70" s="228"/>
      <c r="OJB70" s="228"/>
      <c r="OJC70" s="226"/>
      <c r="OJD70" s="226"/>
      <c r="OJE70" s="224"/>
      <c r="OJF70" s="225"/>
      <c r="OJG70" s="226"/>
      <c r="OJH70" s="227"/>
      <c r="OJI70" s="228"/>
      <c r="OJJ70" s="228"/>
      <c r="OJK70" s="228"/>
      <c r="OJL70" s="228"/>
      <c r="OJM70" s="228"/>
      <c r="OJN70" s="228"/>
      <c r="OJO70" s="226"/>
      <c r="OJP70" s="226"/>
      <c r="OJQ70" s="224"/>
      <c r="OJR70" s="225"/>
      <c r="OJS70" s="226"/>
      <c r="OJT70" s="227"/>
      <c r="OJU70" s="228"/>
      <c r="OJV70" s="228"/>
      <c r="OJW70" s="228"/>
      <c r="OJX70" s="228"/>
      <c r="OJY70" s="228"/>
      <c r="OJZ70" s="228"/>
      <c r="OKA70" s="226"/>
      <c r="OKB70" s="226"/>
      <c r="OKC70" s="224"/>
      <c r="OKD70" s="225"/>
      <c r="OKE70" s="226"/>
      <c r="OKF70" s="227"/>
      <c r="OKG70" s="228"/>
      <c r="OKH70" s="228"/>
      <c r="OKI70" s="228"/>
      <c r="OKJ70" s="228"/>
      <c r="OKK70" s="228"/>
      <c r="OKL70" s="228"/>
      <c r="OKM70" s="226"/>
      <c r="OKN70" s="226"/>
      <c r="OKO70" s="224"/>
      <c r="OKP70" s="225"/>
      <c r="OKQ70" s="226"/>
      <c r="OKR70" s="227"/>
      <c r="OKS70" s="228"/>
      <c r="OKT70" s="228"/>
      <c r="OKU70" s="228"/>
      <c r="OKV70" s="228"/>
      <c r="OKW70" s="228"/>
      <c r="OKX70" s="228"/>
      <c r="OKY70" s="226"/>
      <c r="OKZ70" s="226"/>
      <c r="OLA70" s="224"/>
      <c r="OLB70" s="225"/>
      <c r="OLC70" s="226"/>
      <c r="OLD70" s="227"/>
      <c r="OLE70" s="228"/>
      <c r="OLF70" s="228"/>
      <c r="OLG70" s="228"/>
      <c r="OLH70" s="228"/>
      <c r="OLI70" s="228"/>
      <c r="OLJ70" s="228"/>
      <c r="OLK70" s="226"/>
      <c r="OLL70" s="226"/>
      <c r="OLM70" s="224"/>
      <c r="OLN70" s="225"/>
      <c r="OLO70" s="226"/>
      <c r="OLP70" s="227"/>
      <c r="OLQ70" s="228"/>
      <c r="OLR70" s="228"/>
      <c r="OLS70" s="228"/>
      <c r="OLT70" s="228"/>
      <c r="OLU70" s="228"/>
      <c r="OLV70" s="228"/>
      <c r="OLW70" s="226"/>
      <c r="OLX70" s="226"/>
      <c r="OLY70" s="224"/>
      <c r="OLZ70" s="225"/>
      <c r="OMA70" s="226"/>
      <c r="OMB70" s="227"/>
      <c r="OMC70" s="228"/>
      <c r="OMD70" s="228"/>
      <c r="OME70" s="228"/>
      <c r="OMF70" s="228"/>
      <c r="OMG70" s="228"/>
      <c r="OMH70" s="228"/>
      <c r="OMI70" s="226"/>
      <c r="OMJ70" s="226"/>
      <c r="OMK70" s="224"/>
      <c r="OML70" s="225"/>
      <c r="OMM70" s="226"/>
      <c r="OMN70" s="227"/>
      <c r="OMO70" s="228"/>
      <c r="OMP70" s="228"/>
      <c r="OMQ70" s="228"/>
      <c r="OMR70" s="228"/>
      <c r="OMS70" s="228"/>
      <c r="OMT70" s="228"/>
      <c r="OMU70" s="226"/>
      <c r="OMV70" s="226"/>
      <c r="OMW70" s="224"/>
      <c r="OMX70" s="225"/>
      <c r="OMY70" s="226"/>
      <c r="OMZ70" s="227"/>
      <c r="ONA70" s="228"/>
      <c r="ONB70" s="228"/>
      <c r="ONC70" s="228"/>
      <c r="OND70" s="228"/>
      <c r="ONE70" s="228"/>
      <c r="ONF70" s="228"/>
      <c r="ONG70" s="226"/>
      <c r="ONH70" s="226"/>
      <c r="ONI70" s="224"/>
      <c r="ONJ70" s="225"/>
      <c r="ONK70" s="226"/>
      <c r="ONL70" s="227"/>
      <c r="ONM70" s="228"/>
      <c r="ONN70" s="228"/>
      <c r="ONO70" s="228"/>
      <c r="ONP70" s="228"/>
      <c r="ONQ70" s="228"/>
      <c r="ONR70" s="228"/>
      <c r="ONS70" s="226"/>
      <c r="ONT70" s="226"/>
      <c r="ONU70" s="224"/>
      <c r="ONV70" s="225"/>
      <c r="ONW70" s="226"/>
      <c r="ONX70" s="227"/>
      <c r="ONY70" s="228"/>
      <c r="ONZ70" s="228"/>
      <c r="OOA70" s="228"/>
      <c r="OOB70" s="228"/>
      <c r="OOC70" s="228"/>
      <c r="OOD70" s="228"/>
      <c r="OOE70" s="226"/>
      <c r="OOF70" s="226"/>
      <c r="OOG70" s="224"/>
      <c r="OOH70" s="225"/>
      <c r="OOI70" s="226"/>
      <c r="OOJ70" s="227"/>
      <c r="OOK70" s="228"/>
      <c r="OOL70" s="228"/>
      <c r="OOM70" s="228"/>
      <c r="OON70" s="228"/>
      <c r="OOO70" s="228"/>
      <c r="OOP70" s="228"/>
      <c r="OOQ70" s="226"/>
      <c r="OOR70" s="226"/>
      <c r="OOS70" s="224"/>
      <c r="OOT70" s="225"/>
      <c r="OOU70" s="226"/>
      <c r="OOV70" s="227"/>
      <c r="OOW70" s="228"/>
      <c r="OOX70" s="228"/>
      <c r="OOY70" s="228"/>
      <c r="OOZ70" s="228"/>
      <c r="OPA70" s="228"/>
      <c r="OPB70" s="228"/>
      <c r="OPC70" s="226"/>
      <c r="OPD70" s="226"/>
      <c r="OPE70" s="224"/>
      <c r="OPF70" s="225"/>
      <c r="OPG70" s="226"/>
      <c r="OPH70" s="227"/>
      <c r="OPI70" s="228"/>
      <c r="OPJ70" s="228"/>
      <c r="OPK70" s="228"/>
      <c r="OPL70" s="228"/>
      <c r="OPM70" s="228"/>
      <c r="OPN70" s="228"/>
      <c r="OPO70" s="226"/>
      <c r="OPP70" s="226"/>
      <c r="OPQ70" s="224"/>
      <c r="OPR70" s="225"/>
      <c r="OPS70" s="226"/>
      <c r="OPT70" s="227"/>
      <c r="OPU70" s="228"/>
      <c r="OPV70" s="228"/>
      <c r="OPW70" s="228"/>
      <c r="OPX70" s="228"/>
      <c r="OPY70" s="228"/>
      <c r="OPZ70" s="228"/>
      <c r="OQA70" s="226"/>
      <c r="OQB70" s="226"/>
      <c r="OQC70" s="224"/>
      <c r="OQD70" s="225"/>
      <c r="OQE70" s="226"/>
      <c r="OQF70" s="227"/>
      <c r="OQG70" s="228"/>
      <c r="OQH70" s="228"/>
      <c r="OQI70" s="228"/>
      <c r="OQJ70" s="228"/>
      <c r="OQK70" s="228"/>
      <c r="OQL70" s="228"/>
      <c r="OQM70" s="226"/>
      <c r="OQN70" s="226"/>
      <c r="OQO70" s="224"/>
      <c r="OQP70" s="225"/>
      <c r="OQQ70" s="226"/>
      <c r="OQR70" s="227"/>
      <c r="OQS70" s="228"/>
      <c r="OQT70" s="228"/>
      <c r="OQU70" s="228"/>
      <c r="OQV70" s="228"/>
      <c r="OQW70" s="228"/>
      <c r="OQX70" s="228"/>
      <c r="OQY70" s="226"/>
      <c r="OQZ70" s="226"/>
      <c r="ORA70" s="224"/>
      <c r="ORB70" s="225"/>
      <c r="ORC70" s="226"/>
      <c r="ORD70" s="227"/>
      <c r="ORE70" s="228"/>
      <c r="ORF70" s="228"/>
      <c r="ORG70" s="228"/>
      <c r="ORH70" s="228"/>
      <c r="ORI70" s="228"/>
      <c r="ORJ70" s="228"/>
      <c r="ORK70" s="226"/>
      <c r="ORL70" s="226"/>
      <c r="ORM70" s="224"/>
      <c r="ORN70" s="225"/>
      <c r="ORO70" s="226"/>
      <c r="ORP70" s="227"/>
      <c r="ORQ70" s="228"/>
      <c r="ORR70" s="228"/>
      <c r="ORS70" s="228"/>
      <c r="ORT70" s="228"/>
      <c r="ORU70" s="228"/>
      <c r="ORV70" s="228"/>
      <c r="ORW70" s="226"/>
      <c r="ORX70" s="226"/>
      <c r="ORY70" s="224"/>
      <c r="ORZ70" s="225"/>
      <c r="OSA70" s="226"/>
      <c r="OSB70" s="227"/>
      <c r="OSC70" s="228"/>
      <c r="OSD70" s="228"/>
      <c r="OSE70" s="228"/>
      <c r="OSF70" s="228"/>
      <c r="OSG70" s="228"/>
      <c r="OSH70" s="228"/>
      <c r="OSI70" s="226"/>
      <c r="OSJ70" s="226"/>
      <c r="OSK70" s="224"/>
      <c r="OSL70" s="225"/>
      <c r="OSM70" s="226"/>
      <c r="OSN70" s="227"/>
      <c r="OSO70" s="228"/>
      <c r="OSP70" s="228"/>
      <c r="OSQ70" s="228"/>
      <c r="OSR70" s="228"/>
      <c r="OSS70" s="228"/>
      <c r="OST70" s="228"/>
      <c r="OSU70" s="226"/>
      <c r="OSV70" s="226"/>
      <c r="OSW70" s="224"/>
      <c r="OSX70" s="225"/>
      <c r="OSY70" s="226"/>
      <c r="OSZ70" s="227"/>
      <c r="OTA70" s="228"/>
      <c r="OTB70" s="228"/>
      <c r="OTC70" s="228"/>
      <c r="OTD70" s="228"/>
      <c r="OTE70" s="228"/>
      <c r="OTF70" s="228"/>
      <c r="OTG70" s="226"/>
      <c r="OTH70" s="226"/>
      <c r="OTI70" s="224"/>
      <c r="OTJ70" s="225"/>
      <c r="OTK70" s="226"/>
      <c r="OTL70" s="227"/>
      <c r="OTM70" s="228"/>
      <c r="OTN70" s="228"/>
      <c r="OTO70" s="228"/>
      <c r="OTP70" s="228"/>
      <c r="OTQ70" s="228"/>
      <c r="OTR70" s="228"/>
      <c r="OTS70" s="226"/>
      <c r="OTT70" s="226"/>
      <c r="OTU70" s="224"/>
      <c r="OTV70" s="225"/>
      <c r="OTW70" s="226"/>
      <c r="OTX70" s="227"/>
      <c r="OTY70" s="228"/>
      <c r="OTZ70" s="228"/>
      <c r="OUA70" s="228"/>
      <c r="OUB70" s="228"/>
      <c r="OUC70" s="228"/>
      <c r="OUD70" s="228"/>
      <c r="OUE70" s="226"/>
      <c r="OUF70" s="226"/>
      <c r="OUG70" s="224"/>
      <c r="OUH70" s="225"/>
      <c r="OUI70" s="226"/>
      <c r="OUJ70" s="227"/>
      <c r="OUK70" s="228"/>
      <c r="OUL70" s="228"/>
      <c r="OUM70" s="228"/>
      <c r="OUN70" s="228"/>
      <c r="OUO70" s="228"/>
      <c r="OUP70" s="228"/>
      <c r="OUQ70" s="226"/>
      <c r="OUR70" s="226"/>
      <c r="OUS70" s="224"/>
      <c r="OUT70" s="225"/>
      <c r="OUU70" s="226"/>
      <c r="OUV70" s="227"/>
      <c r="OUW70" s="228"/>
      <c r="OUX70" s="228"/>
      <c r="OUY70" s="228"/>
      <c r="OUZ70" s="228"/>
      <c r="OVA70" s="228"/>
      <c r="OVB70" s="228"/>
      <c r="OVC70" s="226"/>
      <c r="OVD70" s="226"/>
      <c r="OVE70" s="224"/>
      <c r="OVF70" s="225"/>
      <c r="OVG70" s="226"/>
      <c r="OVH70" s="227"/>
      <c r="OVI70" s="228"/>
      <c r="OVJ70" s="228"/>
      <c r="OVK70" s="228"/>
      <c r="OVL70" s="228"/>
      <c r="OVM70" s="228"/>
      <c r="OVN70" s="228"/>
      <c r="OVO70" s="226"/>
      <c r="OVP70" s="226"/>
      <c r="OVQ70" s="224"/>
      <c r="OVR70" s="225"/>
      <c r="OVS70" s="226"/>
      <c r="OVT70" s="227"/>
      <c r="OVU70" s="228"/>
      <c r="OVV70" s="228"/>
      <c r="OVW70" s="228"/>
      <c r="OVX70" s="228"/>
      <c r="OVY70" s="228"/>
      <c r="OVZ70" s="228"/>
      <c r="OWA70" s="226"/>
      <c r="OWB70" s="226"/>
      <c r="OWC70" s="224"/>
      <c r="OWD70" s="225"/>
      <c r="OWE70" s="226"/>
      <c r="OWF70" s="227"/>
      <c r="OWG70" s="228"/>
      <c r="OWH70" s="228"/>
      <c r="OWI70" s="228"/>
      <c r="OWJ70" s="228"/>
      <c r="OWK70" s="228"/>
      <c r="OWL70" s="228"/>
      <c r="OWM70" s="226"/>
      <c r="OWN70" s="226"/>
      <c r="OWO70" s="224"/>
      <c r="OWP70" s="225"/>
      <c r="OWQ70" s="226"/>
      <c r="OWR70" s="227"/>
      <c r="OWS70" s="228"/>
      <c r="OWT70" s="228"/>
      <c r="OWU70" s="228"/>
      <c r="OWV70" s="228"/>
      <c r="OWW70" s="228"/>
      <c r="OWX70" s="228"/>
      <c r="OWY70" s="226"/>
      <c r="OWZ70" s="226"/>
      <c r="OXA70" s="224"/>
      <c r="OXB70" s="225"/>
      <c r="OXC70" s="226"/>
      <c r="OXD70" s="227"/>
      <c r="OXE70" s="228"/>
      <c r="OXF70" s="228"/>
      <c r="OXG70" s="228"/>
      <c r="OXH70" s="228"/>
      <c r="OXI70" s="228"/>
      <c r="OXJ70" s="228"/>
      <c r="OXK70" s="226"/>
      <c r="OXL70" s="226"/>
      <c r="OXM70" s="224"/>
      <c r="OXN70" s="225"/>
      <c r="OXO70" s="226"/>
      <c r="OXP70" s="227"/>
      <c r="OXQ70" s="228"/>
      <c r="OXR70" s="228"/>
      <c r="OXS70" s="228"/>
      <c r="OXT70" s="228"/>
      <c r="OXU70" s="228"/>
      <c r="OXV70" s="228"/>
      <c r="OXW70" s="226"/>
      <c r="OXX70" s="226"/>
      <c r="OXY70" s="224"/>
      <c r="OXZ70" s="225"/>
      <c r="OYA70" s="226"/>
      <c r="OYB70" s="227"/>
      <c r="OYC70" s="228"/>
      <c r="OYD70" s="228"/>
      <c r="OYE70" s="228"/>
      <c r="OYF70" s="228"/>
      <c r="OYG70" s="228"/>
      <c r="OYH70" s="228"/>
      <c r="OYI70" s="226"/>
      <c r="OYJ70" s="226"/>
      <c r="OYK70" s="224"/>
      <c r="OYL70" s="225"/>
      <c r="OYM70" s="226"/>
      <c r="OYN70" s="227"/>
      <c r="OYO70" s="228"/>
      <c r="OYP70" s="228"/>
      <c r="OYQ70" s="228"/>
      <c r="OYR70" s="228"/>
      <c r="OYS70" s="228"/>
      <c r="OYT70" s="228"/>
      <c r="OYU70" s="226"/>
      <c r="OYV70" s="226"/>
      <c r="OYW70" s="224"/>
      <c r="OYX70" s="225"/>
      <c r="OYY70" s="226"/>
      <c r="OYZ70" s="227"/>
      <c r="OZA70" s="228"/>
      <c r="OZB70" s="228"/>
      <c r="OZC70" s="228"/>
      <c r="OZD70" s="228"/>
      <c r="OZE70" s="228"/>
      <c r="OZF70" s="228"/>
      <c r="OZG70" s="226"/>
      <c r="OZH70" s="226"/>
      <c r="OZI70" s="224"/>
      <c r="OZJ70" s="225"/>
      <c r="OZK70" s="226"/>
      <c r="OZL70" s="227"/>
      <c r="OZM70" s="228"/>
      <c r="OZN70" s="228"/>
      <c r="OZO70" s="228"/>
      <c r="OZP70" s="228"/>
      <c r="OZQ70" s="228"/>
      <c r="OZR70" s="228"/>
      <c r="OZS70" s="226"/>
      <c r="OZT70" s="226"/>
      <c r="OZU70" s="224"/>
      <c r="OZV70" s="225"/>
      <c r="OZW70" s="226"/>
      <c r="OZX70" s="227"/>
      <c r="OZY70" s="228"/>
      <c r="OZZ70" s="228"/>
      <c r="PAA70" s="228"/>
      <c r="PAB70" s="228"/>
      <c r="PAC70" s="228"/>
      <c r="PAD70" s="228"/>
      <c r="PAE70" s="226"/>
      <c r="PAF70" s="226"/>
      <c r="PAG70" s="224"/>
      <c r="PAH70" s="225"/>
      <c r="PAI70" s="226"/>
      <c r="PAJ70" s="227"/>
      <c r="PAK70" s="228"/>
      <c r="PAL70" s="228"/>
      <c r="PAM70" s="228"/>
      <c r="PAN70" s="228"/>
      <c r="PAO70" s="228"/>
      <c r="PAP70" s="228"/>
      <c r="PAQ70" s="226"/>
      <c r="PAR70" s="226"/>
      <c r="PAS70" s="224"/>
      <c r="PAT70" s="225"/>
      <c r="PAU70" s="226"/>
      <c r="PAV70" s="227"/>
      <c r="PAW70" s="228"/>
      <c r="PAX70" s="228"/>
      <c r="PAY70" s="228"/>
      <c r="PAZ70" s="228"/>
      <c r="PBA70" s="228"/>
      <c r="PBB70" s="228"/>
      <c r="PBC70" s="226"/>
      <c r="PBD70" s="226"/>
      <c r="PBE70" s="224"/>
      <c r="PBF70" s="225"/>
      <c r="PBG70" s="226"/>
      <c r="PBH70" s="227"/>
      <c r="PBI70" s="228"/>
      <c r="PBJ70" s="228"/>
      <c r="PBK70" s="228"/>
      <c r="PBL70" s="228"/>
      <c r="PBM70" s="228"/>
      <c r="PBN70" s="228"/>
      <c r="PBO70" s="226"/>
      <c r="PBP70" s="226"/>
      <c r="PBQ70" s="224"/>
      <c r="PBR70" s="225"/>
      <c r="PBS70" s="226"/>
      <c r="PBT70" s="227"/>
      <c r="PBU70" s="228"/>
      <c r="PBV70" s="228"/>
      <c r="PBW70" s="228"/>
      <c r="PBX70" s="228"/>
      <c r="PBY70" s="228"/>
      <c r="PBZ70" s="228"/>
      <c r="PCA70" s="226"/>
      <c r="PCB70" s="226"/>
      <c r="PCC70" s="224"/>
      <c r="PCD70" s="225"/>
      <c r="PCE70" s="226"/>
      <c r="PCF70" s="227"/>
      <c r="PCG70" s="228"/>
      <c r="PCH70" s="228"/>
      <c r="PCI70" s="228"/>
      <c r="PCJ70" s="228"/>
      <c r="PCK70" s="228"/>
      <c r="PCL70" s="228"/>
      <c r="PCM70" s="226"/>
      <c r="PCN70" s="226"/>
      <c r="PCO70" s="224"/>
      <c r="PCP70" s="225"/>
      <c r="PCQ70" s="226"/>
      <c r="PCR70" s="227"/>
      <c r="PCS70" s="228"/>
      <c r="PCT70" s="228"/>
      <c r="PCU70" s="228"/>
      <c r="PCV70" s="228"/>
      <c r="PCW70" s="228"/>
      <c r="PCX70" s="228"/>
      <c r="PCY70" s="226"/>
      <c r="PCZ70" s="226"/>
      <c r="PDA70" s="224"/>
      <c r="PDB70" s="225"/>
      <c r="PDC70" s="226"/>
      <c r="PDD70" s="227"/>
      <c r="PDE70" s="228"/>
      <c r="PDF70" s="228"/>
      <c r="PDG70" s="228"/>
      <c r="PDH70" s="228"/>
      <c r="PDI70" s="228"/>
      <c r="PDJ70" s="228"/>
      <c r="PDK70" s="226"/>
      <c r="PDL70" s="226"/>
      <c r="PDM70" s="224"/>
      <c r="PDN70" s="225"/>
      <c r="PDO70" s="226"/>
      <c r="PDP70" s="227"/>
      <c r="PDQ70" s="228"/>
      <c r="PDR70" s="228"/>
      <c r="PDS70" s="228"/>
      <c r="PDT70" s="228"/>
      <c r="PDU70" s="228"/>
      <c r="PDV70" s="228"/>
      <c r="PDW70" s="226"/>
      <c r="PDX70" s="226"/>
      <c r="PDY70" s="224"/>
      <c r="PDZ70" s="225"/>
      <c r="PEA70" s="226"/>
      <c r="PEB70" s="227"/>
      <c r="PEC70" s="228"/>
      <c r="PED70" s="228"/>
      <c r="PEE70" s="228"/>
      <c r="PEF70" s="228"/>
      <c r="PEG70" s="228"/>
      <c r="PEH70" s="228"/>
      <c r="PEI70" s="226"/>
      <c r="PEJ70" s="226"/>
      <c r="PEK70" s="224"/>
      <c r="PEL70" s="225"/>
      <c r="PEM70" s="226"/>
      <c r="PEN70" s="227"/>
      <c r="PEO70" s="228"/>
      <c r="PEP70" s="228"/>
      <c r="PEQ70" s="228"/>
      <c r="PER70" s="228"/>
      <c r="PES70" s="228"/>
      <c r="PET70" s="228"/>
      <c r="PEU70" s="226"/>
      <c r="PEV70" s="226"/>
      <c r="PEW70" s="224"/>
      <c r="PEX70" s="225"/>
      <c r="PEY70" s="226"/>
      <c r="PEZ70" s="227"/>
      <c r="PFA70" s="228"/>
      <c r="PFB70" s="228"/>
      <c r="PFC70" s="228"/>
      <c r="PFD70" s="228"/>
      <c r="PFE70" s="228"/>
      <c r="PFF70" s="228"/>
      <c r="PFG70" s="226"/>
      <c r="PFH70" s="226"/>
      <c r="PFI70" s="224"/>
      <c r="PFJ70" s="225"/>
      <c r="PFK70" s="226"/>
      <c r="PFL70" s="227"/>
      <c r="PFM70" s="228"/>
      <c r="PFN70" s="228"/>
      <c r="PFO70" s="228"/>
      <c r="PFP70" s="228"/>
      <c r="PFQ70" s="228"/>
      <c r="PFR70" s="228"/>
      <c r="PFS70" s="226"/>
      <c r="PFT70" s="226"/>
      <c r="PFU70" s="224"/>
      <c r="PFV70" s="225"/>
      <c r="PFW70" s="226"/>
      <c r="PFX70" s="227"/>
      <c r="PFY70" s="228"/>
      <c r="PFZ70" s="228"/>
      <c r="PGA70" s="228"/>
      <c r="PGB70" s="228"/>
      <c r="PGC70" s="228"/>
      <c r="PGD70" s="228"/>
      <c r="PGE70" s="226"/>
      <c r="PGF70" s="226"/>
      <c r="PGG70" s="224"/>
      <c r="PGH70" s="225"/>
      <c r="PGI70" s="226"/>
      <c r="PGJ70" s="227"/>
      <c r="PGK70" s="228"/>
      <c r="PGL70" s="228"/>
      <c r="PGM70" s="228"/>
      <c r="PGN70" s="228"/>
      <c r="PGO70" s="228"/>
      <c r="PGP70" s="228"/>
      <c r="PGQ70" s="226"/>
      <c r="PGR70" s="226"/>
      <c r="PGS70" s="224"/>
      <c r="PGT70" s="225"/>
      <c r="PGU70" s="226"/>
      <c r="PGV70" s="227"/>
      <c r="PGW70" s="228"/>
      <c r="PGX70" s="228"/>
      <c r="PGY70" s="228"/>
      <c r="PGZ70" s="228"/>
      <c r="PHA70" s="228"/>
      <c r="PHB70" s="228"/>
      <c r="PHC70" s="226"/>
      <c r="PHD70" s="226"/>
      <c r="PHE70" s="224"/>
      <c r="PHF70" s="225"/>
      <c r="PHG70" s="226"/>
      <c r="PHH70" s="227"/>
      <c r="PHI70" s="228"/>
      <c r="PHJ70" s="228"/>
      <c r="PHK70" s="228"/>
      <c r="PHL70" s="228"/>
      <c r="PHM70" s="228"/>
      <c r="PHN70" s="228"/>
      <c r="PHO70" s="226"/>
      <c r="PHP70" s="226"/>
      <c r="PHQ70" s="224"/>
      <c r="PHR70" s="225"/>
      <c r="PHS70" s="226"/>
      <c r="PHT70" s="227"/>
      <c r="PHU70" s="228"/>
      <c r="PHV70" s="228"/>
      <c r="PHW70" s="228"/>
      <c r="PHX70" s="228"/>
      <c r="PHY70" s="228"/>
      <c r="PHZ70" s="228"/>
      <c r="PIA70" s="226"/>
      <c r="PIB70" s="226"/>
      <c r="PIC70" s="224"/>
      <c r="PID70" s="225"/>
      <c r="PIE70" s="226"/>
      <c r="PIF70" s="227"/>
      <c r="PIG70" s="228"/>
      <c r="PIH70" s="228"/>
      <c r="PII70" s="228"/>
      <c r="PIJ70" s="228"/>
      <c r="PIK70" s="228"/>
      <c r="PIL70" s="228"/>
      <c r="PIM70" s="226"/>
      <c r="PIN70" s="226"/>
      <c r="PIO70" s="224"/>
      <c r="PIP70" s="225"/>
      <c r="PIQ70" s="226"/>
      <c r="PIR70" s="227"/>
      <c r="PIS70" s="228"/>
      <c r="PIT70" s="228"/>
      <c r="PIU70" s="228"/>
      <c r="PIV70" s="228"/>
      <c r="PIW70" s="228"/>
      <c r="PIX70" s="228"/>
      <c r="PIY70" s="226"/>
      <c r="PIZ70" s="226"/>
      <c r="PJA70" s="224"/>
      <c r="PJB70" s="225"/>
      <c r="PJC70" s="226"/>
      <c r="PJD70" s="227"/>
      <c r="PJE70" s="228"/>
      <c r="PJF70" s="228"/>
      <c r="PJG70" s="228"/>
      <c r="PJH70" s="228"/>
      <c r="PJI70" s="228"/>
      <c r="PJJ70" s="228"/>
      <c r="PJK70" s="226"/>
      <c r="PJL70" s="226"/>
      <c r="PJM70" s="224"/>
      <c r="PJN70" s="225"/>
      <c r="PJO70" s="226"/>
      <c r="PJP70" s="227"/>
      <c r="PJQ70" s="228"/>
      <c r="PJR70" s="228"/>
      <c r="PJS70" s="228"/>
      <c r="PJT70" s="228"/>
      <c r="PJU70" s="228"/>
      <c r="PJV70" s="228"/>
      <c r="PJW70" s="226"/>
      <c r="PJX70" s="226"/>
      <c r="PJY70" s="224"/>
      <c r="PJZ70" s="225"/>
      <c r="PKA70" s="226"/>
      <c r="PKB70" s="227"/>
      <c r="PKC70" s="228"/>
      <c r="PKD70" s="228"/>
      <c r="PKE70" s="228"/>
      <c r="PKF70" s="228"/>
      <c r="PKG70" s="228"/>
      <c r="PKH70" s="228"/>
      <c r="PKI70" s="226"/>
      <c r="PKJ70" s="226"/>
      <c r="PKK70" s="224"/>
      <c r="PKL70" s="225"/>
      <c r="PKM70" s="226"/>
      <c r="PKN70" s="227"/>
      <c r="PKO70" s="228"/>
      <c r="PKP70" s="228"/>
      <c r="PKQ70" s="228"/>
      <c r="PKR70" s="228"/>
      <c r="PKS70" s="228"/>
      <c r="PKT70" s="228"/>
      <c r="PKU70" s="226"/>
      <c r="PKV70" s="226"/>
      <c r="PKW70" s="224"/>
      <c r="PKX70" s="225"/>
      <c r="PKY70" s="226"/>
      <c r="PKZ70" s="227"/>
      <c r="PLA70" s="228"/>
      <c r="PLB70" s="228"/>
      <c r="PLC70" s="228"/>
      <c r="PLD70" s="228"/>
      <c r="PLE70" s="228"/>
      <c r="PLF70" s="228"/>
      <c r="PLG70" s="226"/>
      <c r="PLH70" s="226"/>
      <c r="PLI70" s="224"/>
      <c r="PLJ70" s="225"/>
      <c r="PLK70" s="226"/>
      <c r="PLL70" s="227"/>
      <c r="PLM70" s="228"/>
      <c r="PLN70" s="228"/>
      <c r="PLO70" s="228"/>
      <c r="PLP70" s="228"/>
      <c r="PLQ70" s="228"/>
      <c r="PLR70" s="228"/>
      <c r="PLS70" s="226"/>
      <c r="PLT70" s="226"/>
      <c r="PLU70" s="224"/>
      <c r="PLV70" s="225"/>
      <c r="PLW70" s="226"/>
      <c r="PLX70" s="227"/>
      <c r="PLY70" s="228"/>
      <c r="PLZ70" s="228"/>
      <c r="PMA70" s="228"/>
      <c r="PMB70" s="228"/>
      <c r="PMC70" s="228"/>
      <c r="PMD70" s="228"/>
      <c r="PME70" s="226"/>
      <c r="PMF70" s="226"/>
      <c r="PMG70" s="224"/>
      <c r="PMH70" s="225"/>
      <c r="PMI70" s="226"/>
      <c r="PMJ70" s="227"/>
      <c r="PMK70" s="228"/>
      <c r="PML70" s="228"/>
      <c r="PMM70" s="228"/>
      <c r="PMN70" s="228"/>
      <c r="PMO70" s="228"/>
      <c r="PMP70" s="228"/>
      <c r="PMQ70" s="226"/>
      <c r="PMR70" s="226"/>
      <c r="PMS70" s="224"/>
      <c r="PMT70" s="225"/>
      <c r="PMU70" s="226"/>
      <c r="PMV70" s="227"/>
      <c r="PMW70" s="228"/>
      <c r="PMX70" s="228"/>
      <c r="PMY70" s="228"/>
      <c r="PMZ70" s="228"/>
      <c r="PNA70" s="228"/>
      <c r="PNB70" s="228"/>
      <c r="PNC70" s="226"/>
      <c r="PND70" s="226"/>
      <c r="PNE70" s="224"/>
      <c r="PNF70" s="225"/>
      <c r="PNG70" s="226"/>
      <c r="PNH70" s="227"/>
      <c r="PNI70" s="228"/>
      <c r="PNJ70" s="228"/>
      <c r="PNK70" s="228"/>
      <c r="PNL70" s="228"/>
      <c r="PNM70" s="228"/>
      <c r="PNN70" s="228"/>
      <c r="PNO70" s="226"/>
      <c r="PNP70" s="226"/>
      <c r="PNQ70" s="224"/>
      <c r="PNR70" s="225"/>
      <c r="PNS70" s="226"/>
      <c r="PNT70" s="227"/>
      <c r="PNU70" s="228"/>
      <c r="PNV70" s="228"/>
      <c r="PNW70" s="228"/>
      <c r="PNX70" s="228"/>
      <c r="PNY70" s="228"/>
      <c r="PNZ70" s="228"/>
      <c r="POA70" s="226"/>
      <c r="POB70" s="226"/>
      <c r="POC70" s="224"/>
      <c r="POD70" s="225"/>
      <c r="POE70" s="226"/>
      <c r="POF70" s="227"/>
      <c r="POG70" s="228"/>
      <c r="POH70" s="228"/>
      <c r="POI70" s="228"/>
      <c r="POJ70" s="228"/>
      <c r="POK70" s="228"/>
      <c r="POL70" s="228"/>
      <c r="POM70" s="226"/>
      <c r="PON70" s="226"/>
      <c r="POO70" s="224"/>
      <c r="POP70" s="225"/>
      <c r="POQ70" s="226"/>
      <c r="POR70" s="227"/>
      <c r="POS70" s="228"/>
      <c r="POT70" s="228"/>
      <c r="POU70" s="228"/>
      <c r="POV70" s="228"/>
      <c r="POW70" s="228"/>
      <c r="POX70" s="228"/>
      <c r="POY70" s="226"/>
      <c r="POZ70" s="226"/>
      <c r="PPA70" s="224"/>
      <c r="PPB70" s="225"/>
      <c r="PPC70" s="226"/>
      <c r="PPD70" s="227"/>
      <c r="PPE70" s="228"/>
      <c r="PPF70" s="228"/>
      <c r="PPG70" s="228"/>
      <c r="PPH70" s="228"/>
      <c r="PPI70" s="228"/>
      <c r="PPJ70" s="228"/>
      <c r="PPK70" s="226"/>
      <c r="PPL70" s="226"/>
      <c r="PPM70" s="224"/>
      <c r="PPN70" s="225"/>
      <c r="PPO70" s="226"/>
      <c r="PPP70" s="227"/>
      <c r="PPQ70" s="228"/>
      <c r="PPR70" s="228"/>
      <c r="PPS70" s="228"/>
      <c r="PPT70" s="228"/>
      <c r="PPU70" s="228"/>
      <c r="PPV70" s="228"/>
      <c r="PPW70" s="226"/>
      <c r="PPX70" s="226"/>
      <c r="PPY70" s="224"/>
      <c r="PPZ70" s="225"/>
      <c r="PQA70" s="226"/>
      <c r="PQB70" s="227"/>
      <c r="PQC70" s="228"/>
      <c r="PQD70" s="228"/>
      <c r="PQE70" s="228"/>
      <c r="PQF70" s="228"/>
      <c r="PQG70" s="228"/>
      <c r="PQH70" s="228"/>
      <c r="PQI70" s="226"/>
      <c r="PQJ70" s="226"/>
      <c r="PQK70" s="224"/>
      <c r="PQL70" s="225"/>
      <c r="PQM70" s="226"/>
      <c r="PQN70" s="227"/>
      <c r="PQO70" s="228"/>
      <c r="PQP70" s="228"/>
      <c r="PQQ70" s="228"/>
      <c r="PQR70" s="228"/>
      <c r="PQS70" s="228"/>
      <c r="PQT70" s="228"/>
      <c r="PQU70" s="226"/>
      <c r="PQV70" s="226"/>
      <c r="PQW70" s="224"/>
      <c r="PQX70" s="225"/>
      <c r="PQY70" s="226"/>
      <c r="PQZ70" s="227"/>
      <c r="PRA70" s="228"/>
      <c r="PRB70" s="228"/>
      <c r="PRC70" s="228"/>
      <c r="PRD70" s="228"/>
      <c r="PRE70" s="228"/>
      <c r="PRF70" s="228"/>
      <c r="PRG70" s="226"/>
      <c r="PRH70" s="226"/>
      <c r="PRI70" s="224"/>
      <c r="PRJ70" s="225"/>
      <c r="PRK70" s="226"/>
      <c r="PRL70" s="227"/>
      <c r="PRM70" s="228"/>
      <c r="PRN70" s="228"/>
      <c r="PRO70" s="228"/>
      <c r="PRP70" s="228"/>
      <c r="PRQ70" s="228"/>
      <c r="PRR70" s="228"/>
      <c r="PRS70" s="226"/>
      <c r="PRT70" s="226"/>
      <c r="PRU70" s="224"/>
      <c r="PRV70" s="225"/>
      <c r="PRW70" s="226"/>
      <c r="PRX70" s="227"/>
      <c r="PRY70" s="228"/>
      <c r="PRZ70" s="228"/>
      <c r="PSA70" s="228"/>
      <c r="PSB70" s="228"/>
      <c r="PSC70" s="228"/>
      <c r="PSD70" s="228"/>
      <c r="PSE70" s="226"/>
      <c r="PSF70" s="226"/>
      <c r="PSG70" s="224"/>
      <c r="PSH70" s="225"/>
      <c r="PSI70" s="226"/>
      <c r="PSJ70" s="227"/>
      <c r="PSK70" s="228"/>
      <c r="PSL70" s="228"/>
      <c r="PSM70" s="228"/>
      <c r="PSN70" s="228"/>
      <c r="PSO70" s="228"/>
      <c r="PSP70" s="228"/>
      <c r="PSQ70" s="226"/>
      <c r="PSR70" s="226"/>
      <c r="PSS70" s="224"/>
      <c r="PST70" s="225"/>
      <c r="PSU70" s="226"/>
      <c r="PSV70" s="227"/>
      <c r="PSW70" s="228"/>
      <c r="PSX70" s="228"/>
      <c r="PSY70" s="228"/>
      <c r="PSZ70" s="228"/>
      <c r="PTA70" s="228"/>
      <c r="PTB70" s="228"/>
      <c r="PTC70" s="226"/>
      <c r="PTD70" s="226"/>
      <c r="PTE70" s="224"/>
      <c r="PTF70" s="225"/>
      <c r="PTG70" s="226"/>
      <c r="PTH70" s="227"/>
      <c r="PTI70" s="228"/>
      <c r="PTJ70" s="228"/>
      <c r="PTK70" s="228"/>
      <c r="PTL70" s="228"/>
      <c r="PTM70" s="228"/>
      <c r="PTN70" s="228"/>
      <c r="PTO70" s="226"/>
      <c r="PTP70" s="226"/>
      <c r="PTQ70" s="224"/>
      <c r="PTR70" s="225"/>
      <c r="PTS70" s="226"/>
      <c r="PTT70" s="227"/>
      <c r="PTU70" s="228"/>
      <c r="PTV70" s="228"/>
      <c r="PTW70" s="228"/>
      <c r="PTX70" s="228"/>
      <c r="PTY70" s="228"/>
      <c r="PTZ70" s="228"/>
      <c r="PUA70" s="226"/>
      <c r="PUB70" s="226"/>
      <c r="PUC70" s="224"/>
      <c r="PUD70" s="225"/>
      <c r="PUE70" s="226"/>
      <c r="PUF70" s="227"/>
      <c r="PUG70" s="228"/>
      <c r="PUH70" s="228"/>
      <c r="PUI70" s="228"/>
      <c r="PUJ70" s="228"/>
      <c r="PUK70" s="228"/>
      <c r="PUL70" s="228"/>
      <c r="PUM70" s="226"/>
      <c r="PUN70" s="226"/>
      <c r="PUO70" s="224"/>
      <c r="PUP70" s="225"/>
      <c r="PUQ70" s="226"/>
      <c r="PUR70" s="227"/>
      <c r="PUS70" s="228"/>
      <c r="PUT70" s="228"/>
      <c r="PUU70" s="228"/>
      <c r="PUV70" s="228"/>
      <c r="PUW70" s="228"/>
      <c r="PUX70" s="228"/>
      <c r="PUY70" s="226"/>
      <c r="PUZ70" s="226"/>
      <c r="PVA70" s="224"/>
      <c r="PVB70" s="225"/>
      <c r="PVC70" s="226"/>
      <c r="PVD70" s="227"/>
      <c r="PVE70" s="228"/>
      <c r="PVF70" s="228"/>
      <c r="PVG70" s="228"/>
      <c r="PVH70" s="228"/>
      <c r="PVI70" s="228"/>
      <c r="PVJ70" s="228"/>
      <c r="PVK70" s="226"/>
      <c r="PVL70" s="226"/>
      <c r="PVM70" s="224"/>
      <c r="PVN70" s="225"/>
      <c r="PVO70" s="226"/>
      <c r="PVP70" s="227"/>
      <c r="PVQ70" s="228"/>
      <c r="PVR70" s="228"/>
      <c r="PVS70" s="228"/>
      <c r="PVT70" s="228"/>
      <c r="PVU70" s="228"/>
      <c r="PVV70" s="228"/>
      <c r="PVW70" s="226"/>
      <c r="PVX70" s="226"/>
      <c r="PVY70" s="224"/>
      <c r="PVZ70" s="225"/>
      <c r="PWA70" s="226"/>
      <c r="PWB70" s="227"/>
      <c r="PWC70" s="228"/>
      <c r="PWD70" s="228"/>
      <c r="PWE70" s="228"/>
      <c r="PWF70" s="228"/>
      <c r="PWG70" s="228"/>
      <c r="PWH70" s="228"/>
      <c r="PWI70" s="226"/>
      <c r="PWJ70" s="226"/>
      <c r="PWK70" s="224"/>
      <c r="PWL70" s="225"/>
      <c r="PWM70" s="226"/>
      <c r="PWN70" s="227"/>
      <c r="PWO70" s="228"/>
      <c r="PWP70" s="228"/>
      <c r="PWQ70" s="228"/>
      <c r="PWR70" s="228"/>
      <c r="PWS70" s="228"/>
      <c r="PWT70" s="228"/>
      <c r="PWU70" s="226"/>
      <c r="PWV70" s="226"/>
      <c r="PWW70" s="224"/>
      <c r="PWX70" s="225"/>
      <c r="PWY70" s="226"/>
      <c r="PWZ70" s="227"/>
      <c r="PXA70" s="228"/>
      <c r="PXB70" s="228"/>
      <c r="PXC70" s="228"/>
      <c r="PXD70" s="228"/>
      <c r="PXE70" s="228"/>
      <c r="PXF70" s="228"/>
      <c r="PXG70" s="226"/>
      <c r="PXH70" s="226"/>
      <c r="PXI70" s="224"/>
      <c r="PXJ70" s="225"/>
      <c r="PXK70" s="226"/>
      <c r="PXL70" s="227"/>
      <c r="PXM70" s="228"/>
      <c r="PXN70" s="228"/>
      <c r="PXO70" s="228"/>
      <c r="PXP70" s="228"/>
      <c r="PXQ70" s="228"/>
      <c r="PXR70" s="228"/>
      <c r="PXS70" s="226"/>
      <c r="PXT70" s="226"/>
      <c r="PXU70" s="224"/>
      <c r="PXV70" s="225"/>
      <c r="PXW70" s="226"/>
      <c r="PXX70" s="227"/>
      <c r="PXY70" s="228"/>
      <c r="PXZ70" s="228"/>
      <c r="PYA70" s="228"/>
      <c r="PYB70" s="228"/>
      <c r="PYC70" s="228"/>
      <c r="PYD70" s="228"/>
      <c r="PYE70" s="226"/>
      <c r="PYF70" s="226"/>
      <c r="PYG70" s="224"/>
      <c r="PYH70" s="225"/>
      <c r="PYI70" s="226"/>
      <c r="PYJ70" s="227"/>
      <c r="PYK70" s="228"/>
      <c r="PYL70" s="228"/>
      <c r="PYM70" s="228"/>
      <c r="PYN70" s="228"/>
      <c r="PYO70" s="228"/>
      <c r="PYP70" s="228"/>
      <c r="PYQ70" s="226"/>
      <c r="PYR70" s="226"/>
      <c r="PYS70" s="224"/>
      <c r="PYT70" s="225"/>
      <c r="PYU70" s="226"/>
      <c r="PYV70" s="227"/>
      <c r="PYW70" s="228"/>
      <c r="PYX70" s="228"/>
      <c r="PYY70" s="228"/>
      <c r="PYZ70" s="228"/>
      <c r="PZA70" s="228"/>
      <c r="PZB70" s="228"/>
      <c r="PZC70" s="226"/>
      <c r="PZD70" s="226"/>
      <c r="PZE70" s="224"/>
      <c r="PZF70" s="225"/>
      <c r="PZG70" s="226"/>
      <c r="PZH70" s="227"/>
      <c r="PZI70" s="228"/>
      <c r="PZJ70" s="228"/>
      <c r="PZK70" s="228"/>
      <c r="PZL70" s="228"/>
      <c r="PZM70" s="228"/>
      <c r="PZN70" s="228"/>
      <c r="PZO70" s="226"/>
      <c r="PZP70" s="226"/>
      <c r="PZQ70" s="224"/>
      <c r="PZR70" s="225"/>
      <c r="PZS70" s="226"/>
      <c r="PZT70" s="227"/>
      <c r="PZU70" s="228"/>
      <c r="PZV70" s="228"/>
      <c r="PZW70" s="228"/>
      <c r="PZX70" s="228"/>
      <c r="PZY70" s="228"/>
      <c r="PZZ70" s="228"/>
      <c r="QAA70" s="226"/>
      <c r="QAB70" s="226"/>
      <c r="QAC70" s="224"/>
      <c r="QAD70" s="225"/>
      <c r="QAE70" s="226"/>
      <c r="QAF70" s="227"/>
      <c r="QAG70" s="228"/>
      <c r="QAH70" s="228"/>
      <c r="QAI70" s="228"/>
      <c r="QAJ70" s="228"/>
      <c r="QAK70" s="228"/>
      <c r="QAL70" s="228"/>
      <c r="QAM70" s="226"/>
      <c r="QAN70" s="226"/>
      <c r="QAO70" s="224"/>
      <c r="QAP70" s="225"/>
      <c r="QAQ70" s="226"/>
      <c r="QAR70" s="227"/>
      <c r="QAS70" s="228"/>
      <c r="QAT70" s="228"/>
      <c r="QAU70" s="228"/>
      <c r="QAV70" s="228"/>
      <c r="QAW70" s="228"/>
      <c r="QAX70" s="228"/>
      <c r="QAY70" s="226"/>
      <c r="QAZ70" s="226"/>
      <c r="QBA70" s="224"/>
      <c r="QBB70" s="225"/>
      <c r="QBC70" s="226"/>
      <c r="QBD70" s="227"/>
      <c r="QBE70" s="228"/>
      <c r="QBF70" s="228"/>
      <c r="QBG70" s="228"/>
      <c r="QBH70" s="228"/>
      <c r="QBI70" s="228"/>
      <c r="QBJ70" s="228"/>
      <c r="QBK70" s="226"/>
      <c r="QBL70" s="226"/>
      <c r="QBM70" s="224"/>
      <c r="QBN70" s="225"/>
      <c r="QBO70" s="226"/>
      <c r="QBP70" s="227"/>
      <c r="QBQ70" s="228"/>
      <c r="QBR70" s="228"/>
      <c r="QBS70" s="228"/>
      <c r="QBT70" s="228"/>
      <c r="QBU70" s="228"/>
      <c r="QBV70" s="228"/>
      <c r="QBW70" s="226"/>
      <c r="QBX70" s="226"/>
      <c r="QBY70" s="224"/>
      <c r="QBZ70" s="225"/>
      <c r="QCA70" s="226"/>
      <c r="QCB70" s="227"/>
      <c r="QCC70" s="228"/>
      <c r="QCD70" s="228"/>
      <c r="QCE70" s="228"/>
      <c r="QCF70" s="228"/>
      <c r="QCG70" s="228"/>
      <c r="QCH70" s="228"/>
      <c r="QCI70" s="226"/>
      <c r="QCJ70" s="226"/>
      <c r="QCK70" s="224"/>
      <c r="QCL70" s="225"/>
      <c r="QCM70" s="226"/>
      <c r="QCN70" s="227"/>
      <c r="QCO70" s="228"/>
      <c r="QCP70" s="228"/>
      <c r="QCQ70" s="228"/>
      <c r="QCR70" s="228"/>
      <c r="QCS70" s="228"/>
      <c r="QCT70" s="228"/>
      <c r="QCU70" s="226"/>
      <c r="QCV70" s="226"/>
      <c r="QCW70" s="224"/>
      <c r="QCX70" s="225"/>
      <c r="QCY70" s="226"/>
      <c r="QCZ70" s="227"/>
      <c r="QDA70" s="228"/>
      <c r="QDB70" s="228"/>
      <c r="QDC70" s="228"/>
      <c r="QDD70" s="228"/>
      <c r="QDE70" s="228"/>
      <c r="QDF70" s="228"/>
      <c r="QDG70" s="226"/>
      <c r="QDH70" s="226"/>
      <c r="QDI70" s="224"/>
      <c r="QDJ70" s="225"/>
      <c r="QDK70" s="226"/>
      <c r="QDL70" s="227"/>
      <c r="QDM70" s="228"/>
      <c r="QDN70" s="228"/>
      <c r="QDO70" s="228"/>
      <c r="QDP70" s="228"/>
      <c r="QDQ70" s="228"/>
      <c r="QDR70" s="228"/>
      <c r="QDS70" s="226"/>
      <c r="QDT70" s="226"/>
      <c r="QDU70" s="224"/>
      <c r="QDV70" s="225"/>
      <c r="QDW70" s="226"/>
      <c r="QDX70" s="227"/>
      <c r="QDY70" s="228"/>
      <c r="QDZ70" s="228"/>
      <c r="QEA70" s="228"/>
      <c r="QEB70" s="228"/>
      <c r="QEC70" s="228"/>
      <c r="QED70" s="228"/>
      <c r="QEE70" s="226"/>
      <c r="QEF70" s="226"/>
      <c r="QEG70" s="224"/>
      <c r="QEH70" s="225"/>
      <c r="QEI70" s="226"/>
      <c r="QEJ70" s="227"/>
      <c r="QEK70" s="228"/>
      <c r="QEL70" s="228"/>
      <c r="QEM70" s="228"/>
      <c r="QEN70" s="228"/>
      <c r="QEO70" s="228"/>
      <c r="QEP70" s="228"/>
      <c r="QEQ70" s="226"/>
      <c r="QER70" s="226"/>
      <c r="QES70" s="224"/>
      <c r="QET70" s="225"/>
      <c r="QEU70" s="226"/>
      <c r="QEV70" s="227"/>
      <c r="QEW70" s="228"/>
      <c r="QEX70" s="228"/>
      <c r="QEY70" s="228"/>
      <c r="QEZ70" s="228"/>
      <c r="QFA70" s="228"/>
      <c r="QFB70" s="228"/>
      <c r="QFC70" s="226"/>
      <c r="QFD70" s="226"/>
      <c r="QFE70" s="224"/>
      <c r="QFF70" s="225"/>
      <c r="QFG70" s="226"/>
      <c r="QFH70" s="227"/>
      <c r="QFI70" s="228"/>
      <c r="QFJ70" s="228"/>
      <c r="QFK70" s="228"/>
      <c r="QFL70" s="228"/>
      <c r="QFM70" s="228"/>
      <c r="QFN70" s="228"/>
      <c r="QFO70" s="226"/>
      <c r="QFP70" s="226"/>
      <c r="QFQ70" s="224"/>
      <c r="QFR70" s="225"/>
      <c r="QFS70" s="226"/>
      <c r="QFT70" s="227"/>
      <c r="QFU70" s="228"/>
      <c r="QFV70" s="228"/>
      <c r="QFW70" s="228"/>
      <c r="QFX70" s="228"/>
      <c r="QFY70" s="228"/>
      <c r="QFZ70" s="228"/>
      <c r="QGA70" s="226"/>
      <c r="QGB70" s="226"/>
      <c r="QGC70" s="224"/>
      <c r="QGD70" s="225"/>
      <c r="QGE70" s="226"/>
      <c r="QGF70" s="227"/>
      <c r="QGG70" s="228"/>
      <c r="QGH70" s="228"/>
      <c r="QGI70" s="228"/>
      <c r="QGJ70" s="228"/>
      <c r="QGK70" s="228"/>
      <c r="QGL70" s="228"/>
      <c r="QGM70" s="226"/>
      <c r="QGN70" s="226"/>
      <c r="QGO70" s="224"/>
      <c r="QGP70" s="225"/>
      <c r="QGQ70" s="226"/>
      <c r="QGR70" s="227"/>
      <c r="QGS70" s="228"/>
      <c r="QGT70" s="228"/>
      <c r="QGU70" s="228"/>
      <c r="QGV70" s="228"/>
      <c r="QGW70" s="228"/>
      <c r="QGX70" s="228"/>
      <c r="QGY70" s="226"/>
      <c r="QGZ70" s="226"/>
      <c r="QHA70" s="224"/>
      <c r="QHB70" s="225"/>
      <c r="QHC70" s="226"/>
      <c r="QHD70" s="227"/>
      <c r="QHE70" s="228"/>
      <c r="QHF70" s="228"/>
      <c r="QHG70" s="228"/>
      <c r="QHH70" s="228"/>
      <c r="QHI70" s="228"/>
      <c r="QHJ70" s="228"/>
      <c r="QHK70" s="226"/>
      <c r="QHL70" s="226"/>
      <c r="QHM70" s="224"/>
      <c r="QHN70" s="225"/>
      <c r="QHO70" s="226"/>
      <c r="QHP70" s="227"/>
      <c r="QHQ70" s="228"/>
      <c r="QHR70" s="228"/>
      <c r="QHS70" s="228"/>
      <c r="QHT70" s="228"/>
      <c r="QHU70" s="228"/>
      <c r="QHV70" s="228"/>
      <c r="QHW70" s="226"/>
      <c r="QHX70" s="226"/>
      <c r="QHY70" s="224"/>
      <c r="QHZ70" s="225"/>
      <c r="QIA70" s="226"/>
      <c r="QIB70" s="227"/>
      <c r="QIC70" s="228"/>
      <c r="QID70" s="228"/>
      <c r="QIE70" s="228"/>
      <c r="QIF70" s="228"/>
      <c r="QIG70" s="228"/>
      <c r="QIH70" s="228"/>
      <c r="QII70" s="226"/>
      <c r="QIJ70" s="226"/>
      <c r="QIK70" s="224"/>
      <c r="QIL70" s="225"/>
      <c r="QIM70" s="226"/>
      <c r="QIN70" s="227"/>
      <c r="QIO70" s="228"/>
      <c r="QIP70" s="228"/>
      <c r="QIQ70" s="228"/>
      <c r="QIR70" s="228"/>
      <c r="QIS70" s="228"/>
      <c r="QIT70" s="228"/>
      <c r="QIU70" s="226"/>
      <c r="QIV70" s="226"/>
      <c r="QIW70" s="224"/>
      <c r="QIX70" s="225"/>
      <c r="QIY70" s="226"/>
      <c r="QIZ70" s="227"/>
      <c r="QJA70" s="228"/>
      <c r="QJB70" s="228"/>
      <c r="QJC70" s="228"/>
      <c r="QJD70" s="228"/>
      <c r="QJE70" s="228"/>
      <c r="QJF70" s="228"/>
      <c r="QJG70" s="226"/>
      <c r="QJH70" s="226"/>
      <c r="QJI70" s="224"/>
      <c r="QJJ70" s="225"/>
      <c r="QJK70" s="226"/>
      <c r="QJL70" s="227"/>
      <c r="QJM70" s="228"/>
      <c r="QJN70" s="228"/>
      <c r="QJO70" s="228"/>
      <c r="QJP70" s="228"/>
      <c r="QJQ70" s="228"/>
      <c r="QJR70" s="228"/>
      <c r="QJS70" s="226"/>
      <c r="QJT70" s="226"/>
      <c r="QJU70" s="224"/>
      <c r="QJV70" s="225"/>
      <c r="QJW70" s="226"/>
      <c r="QJX70" s="227"/>
      <c r="QJY70" s="228"/>
      <c r="QJZ70" s="228"/>
      <c r="QKA70" s="228"/>
      <c r="QKB70" s="228"/>
      <c r="QKC70" s="228"/>
      <c r="QKD70" s="228"/>
      <c r="QKE70" s="226"/>
      <c r="QKF70" s="226"/>
      <c r="QKG70" s="224"/>
      <c r="QKH70" s="225"/>
      <c r="QKI70" s="226"/>
      <c r="QKJ70" s="227"/>
      <c r="QKK70" s="228"/>
      <c r="QKL70" s="228"/>
      <c r="QKM70" s="228"/>
      <c r="QKN70" s="228"/>
      <c r="QKO70" s="228"/>
      <c r="QKP70" s="228"/>
      <c r="QKQ70" s="226"/>
      <c r="QKR70" s="226"/>
      <c r="QKS70" s="224"/>
      <c r="QKT70" s="225"/>
      <c r="QKU70" s="226"/>
      <c r="QKV70" s="227"/>
      <c r="QKW70" s="228"/>
      <c r="QKX70" s="228"/>
      <c r="QKY70" s="228"/>
      <c r="QKZ70" s="228"/>
      <c r="QLA70" s="228"/>
      <c r="QLB70" s="228"/>
      <c r="QLC70" s="226"/>
      <c r="QLD70" s="226"/>
      <c r="QLE70" s="224"/>
      <c r="QLF70" s="225"/>
      <c r="QLG70" s="226"/>
      <c r="QLH70" s="227"/>
      <c r="QLI70" s="228"/>
      <c r="QLJ70" s="228"/>
      <c r="QLK70" s="228"/>
      <c r="QLL70" s="228"/>
      <c r="QLM70" s="228"/>
      <c r="QLN70" s="228"/>
      <c r="QLO70" s="226"/>
      <c r="QLP70" s="226"/>
      <c r="QLQ70" s="224"/>
      <c r="QLR70" s="225"/>
      <c r="QLS70" s="226"/>
      <c r="QLT70" s="227"/>
      <c r="QLU70" s="228"/>
      <c r="QLV70" s="228"/>
      <c r="QLW70" s="228"/>
      <c r="QLX70" s="228"/>
      <c r="QLY70" s="228"/>
      <c r="QLZ70" s="228"/>
      <c r="QMA70" s="226"/>
      <c r="QMB70" s="226"/>
      <c r="QMC70" s="224"/>
      <c r="QMD70" s="225"/>
      <c r="QME70" s="226"/>
      <c r="QMF70" s="227"/>
      <c r="QMG70" s="228"/>
      <c r="QMH70" s="228"/>
      <c r="QMI70" s="228"/>
      <c r="QMJ70" s="228"/>
      <c r="QMK70" s="228"/>
      <c r="QML70" s="228"/>
      <c r="QMM70" s="226"/>
      <c r="QMN70" s="226"/>
      <c r="QMO70" s="224"/>
      <c r="QMP70" s="225"/>
      <c r="QMQ70" s="226"/>
      <c r="QMR70" s="227"/>
      <c r="QMS70" s="228"/>
      <c r="QMT70" s="228"/>
      <c r="QMU70" s="228"/>
      <c r="QMV70" s="228"/>
      <c r="QMW70" s="228"/>
      <c r="QMX70" s="228"/>
      <c r="QMY70" s="226"/>
      <c r="QMZ70" s="226"/>
      <c r="QNA70" s="224"/>
      <c r="QNB70" s="225"/>
      <c r="QNC70" s="226"/>
      <c r="QND70" s="227"/>
      <c r="QNE70" s="228"/>
      <c r="QNF70" s="228"/>
      <c r="QNG70" s="228"/>
      <c r="QNH70" s="228"/>
      <c r="QNI70" s="228"/>
      <c r="QNJ70" s="228"/>
      <c r="QNK70" s="226"/>
      <c r="QNL70" s="226"/>
      <c r="QNM70" s="224"/>
      <c r="QNN70" s="225"/>
      <c r="QNO70" s="226"/>
      <c r="QNP70" s="227"/>
      <c r="QNQ70" s="228"/>
      <c r="QNR70" s="228"/>
      <c r="QNS70" s="228"/>
      <c r="QNT70" s="228"/>
      <c r="QNU70" s="228"/>
      <c r="QNV70" s="228"/>
      <c r="QNW70" s="226"/>
      <c r="QNX70" s="226"/>
      <c r="QNY70" s="224"/>
      <c r="QNZ70" s="225"/>
      <c r="QOA70" s="226"/>
      <c r="QOB70" s="227"/>
      <c r="QOC70" s="228"/>
      <c r="QOD70" s="228"/>
      <c r="QOE70" s="228"/>
      <c r="QOF70" s="228"/>
      <c r="QOG70" s="228"/>
      <c r="QOH70" s="228"/>
      <c r="QOI70" s="226"/>
      <c r="QOJ70" s="226"/>
      <c r="QOK70" s="224"/>
      <c r="QOL70" s="225"/>
      <c r="QOM70" s="226"/>
      <c r="QON70" s="227"/>
      <c r="QOO70" s="228"/>
      <c r="QOP70" s="228"/>
      <c r="QOQ70" s="228"/>
      <c r="QOR70" s="228"/>
      <c r="QOS70" s="228"/>
      <c r="QOT70" s="228"/>
      <c r="QOU70" s="226"/>
      <c r="QOV70" s="226"/>
      <c r="QOW70" s="224"/>
      <c r="QOX70" s="225"/>
      <c r="QOY70" s="226"/>
      <c r="QOZ70" s="227"/>
      <c r="QPA70" s="228"/>
      <c r="QPB70" s="228"/>
      <c r="QPC70" s="228"/>
      <c r="QPD70" s="228"/>
      <c r="QPE70" s="228"/>
      <c r="QPF70" s="228"/>
      <c r="QPG70" s="226"/>
      <c r="QPH70" s="226"/>
      <c r="QPI70" s="224"/>
      <c r="QPJ70" s="225"/>
      <c r="QPK70" s="226"/>
      <c r="QPL70" s="227"/>
      <c r="QPM70" s="228"/>
      <c r="QPN70" s="228"/>
      <c r="QPO70" s="228"/>
      <c r="QPP70" s="228"/>
      <c r="QPQ70" s="228"/>
      <c r="QPR70" s="228"/>
      <c r="QPS70" s="226"/>
      <c r="QPT70" s="226"/>
      <c r="QPU70" s="224"/>
      <c r="QPV70" s="225"/>
      <c r="QPW70" s="226"/>
      <c r="QPX70" s="227"/>
      <c r="QPY70" s="228"/>
      <c r="QPZ70" s="228"/>
      <c r="QQA70" s="228"/>
      <c r="QQB70" s="228"/>
      <c r="QQC70" s="228"/>
      <c r="QQD70" s="228"/>
      <c r="QQE70" s="226"/>
      <c r="QQF70" s="226"/>
      <c r="QQG70" s="224"/>
      <c r="QQH70" s="225"/>
      <c r="QQI70" s="226"/>
      <c r="QQJ70" s="227"/>
      <c r="QQK70" s="228"/>
      <c r="QQL70" s="228"/>
      <c r="QQM70" s="228"/>
      <c r="QQN70" s="228"/>
      <c r="QQO70" s="228"/>
      <c r="QQP70" s="228"/>
      <c r="QQQ70" s="226"/>
      <c r="QQR70" s="226"/>
      <c r="QQS70" s="224"/>
      <c r="QQT70" s="225"/>
      <c r="QQU70" s="226"/>
      <c r="QQV70" s="227"/>
      <c r="QQW70" s="228"/>
      <c r="QQX70" s="228"/>
      <c r="QQY70" s="228"/>
      <c r="QQZ70" s="228"/>
      <c r="QRA70" s="228"/>
      <c r="QRB70" s="228"/>
      <c r="QRC70" s="226"/>
      <c r="QRD70" s="226"/>
      <c r="QRE70" s="224"/>
      <c r="QRF70" s="225"/>
      <c r="QRG70" s="226"/>
      <c r="QRH70" s="227"/>
      <c r="QRI70" s="228"/>
      <c r="QRJ70" s="228"/>
      <c r="QRK70" s="228"/>
      <c r="QRL70" s="228"/>
      <c r="QRM70" s="228"/>
      <c r="QRN70" s="228"/>
      <c r="QRO70" s="226"/>
      <c r="QRP70" s="226"/>
      <c r="QRQ70" s="224"/>
      <c r="QRR70" s="225"/>
      <c r="QRS70" s="226"/>
      <c r="QRT70" s="227"/>
      <c r="QRU70" s="228"/>
      <c r="QRV70" s="228"/>
      <c r="QRW70" s="228"/>
      <c r="QRX70" s="228"/>
      <c r="QRY70" s="228"/>
      <c r="QRZ70" s="228"/>
      <c r="QSA70" s="226"/>
      <c r="QSB70" s="226"/>
      <c r="QSC70" s="224"/>
      <c r="QSD70" s="225"/>
      <c r="QSE70" s="226"/>
      <c r="QSF70" s="227"/>
      <c r="QSG70" s="228"/>
      <c r="QSH70" s="228"/>
      <c r="QSI70" s="228"/>
      <c r="QSJ70" s="228"/>
      <c r="QSK70" s="228"/>
      <c r="QSL70" s="228"/>
      <c r="QSM70" s="226"/>
      <c r="QSN70" s="226"/>
      <c r="QSO70" s="224"/>
      <c r="QSP70" s="225"/>
      <c r="QSQ70" s="226"/>
      <c r="QSR70" s="227"/>
      <c r="QSS70" s="228"/>
      <c r="QST70" s="228"/>
      <c r="QSU70" s="228"/>
      <c r="QSV70" s="228"/>
      <c r="QSW70" s="228"/>
      <c r="QSX70" s="228"/>
      <c r="QSY70" s="226"/>
      <c r="QSZ70" s="226"/>
      <c r="QTA70" s="224"/>
      <c r="QTB70" s="225"/>
      <c r="QTC70" s="226"/>
      <c r="QTD70" s="227"/>
      <c r="QTE70" s="228"/>
      <c r="QTF70" s="228"/>
      <c r="QTG70" s="228"/>
      <c r="QTH70" s="228"/>
      <c r="QTI70" s="228"/>
      <c r="QTJ70" s="228"/>
      <c r="QTK70" s="226"/>
      <c r="QTL70" s="226"/>
      <c r="QTM70" s="224"/>
      <c r="QTN70" s="225"/>
      <c r="QTO70" s="226"/>
      <c r="QTP70" s="227"/>
      <c r="QTQ70" s="228"/>
      <c r="QTR70" s="228"/>
      <c r="QTS70" s="228"/>
      <c r="QTT70" s="228"/>
      <c r="QTU70" s="228"/>
      <c r="QTV70" s="228"/>
      <c r="QTW70" s="226"/>
      <c r="QTX70" s="226"/>
      <c r="QTY70" s="224"/>
      <c r="QTZ70" s="225"/>
      <c r="QUA70" s="226"/>
      <c r="QUB70" s="227"/>
      <c r="QUC70" s="228"/>
      <c r="QUD70" s="228"/>
      <c r="QUE70" s="228"/>
      <c r="QUF70" s="228"/>
      <c r="QUG70" s="228"/>
      <c r="QUH70" s="228"/>
      <c r="QUI70" s="226"/>
      <c r="QUJ70" s="226"/>
      <c r="QUK70" s="224"/>
      <c r="QUL70" s="225"/>
      <c r="QUM70" s="226"/>
      <c r="QUN70" s="227"/>
      <c r="QUO70" s="228"/>
      <c r="QUP70" s="228"/>
      <c r="QUQ70" s="228"/>
      <c r="QUR70" s="228"/>
      <c r="QUS70" s="228"/>
      <c r="QUT70" s="228"/>
      <c r="QUU70" s="226"/>
      <c r="QUV70" s="226"/>
      <c r="QUW70" s="224"/>
      <c r="QUX70" s="225"/>
      <c r="QUY70" s="226"/>
      <c r="QUZ70" s="227"/>
      <c r="QVA70" s="228"/>
      <c r="QVB70" s="228"/>
      <c r="QVC70" s="228"/>
      <c r="QVD70" s="228"/>
      <c r="QVE70" s="228"/>
      <c r="QVF70" s="228"/>
      <c r="QVG70" s="226"/>
      <c r="QVH70" s="226"/>
      <c r="QVI70" s="224"/>
      <c r="QVJ70" s="225"/>
      <c r="QVK70" s="226"/>
      <c r="QVL70" s="227"/>
      <c r="QVM70" s="228"/>
      <c r="QVN70" s="228"/>
      <c r="QVO70" s="228"/>
      <c r="QVP70" s="228"/>
      <c r="QVQ70" s="228"/>
      <c r="QVR70" s="228"/>
      <c r="QVS70" s="226"/>
      <c r="QVT70" s="226"/>
      <c r="QVU70" s="224"/>
      <c r="QVV70" s="225"/>
      <c r="QVW70" s="226"/>
      <c r="QVX70" s="227"/>
      <c r="QVY70" s="228"/>
      <c r="QVZ70" s="228"/>
      <c r="QWA70" s="228"/>
      <c r="QWB70" s="228"/>
      <c r="QWC70" s="228"/>
      <c r="QWD70" s="228"/>
      <c r="QWE70" s="226"/>
      <c r="QWF70" s="226"/>
      <c r="QWG70" s="224"/>
      <c r="QWH70" s="225"/>
      <c r="QWI70" s="226"/>
      <c r="QWJ70" s="227"/>
      <c r="QWK70" s="228"/>
      <c r="QWL70" s="228"/>
      <c r="QWM70" s="228"/>
      <c r="QWN70" s="228"/>
      <c r="QWO70" s="228"/>
      <c r="QWP70" s="228"/>
      <c r="QWQ70" s="226"/>
      <c r="QWR70" s="226"/>
      <c r="QWS70" s="224"/>
      <c r="QWT70" s="225"/>
      <c r="QWU70" s="226"/>
      <c r="QWV70" s="227"/>
      <c r="QWW70" s="228"/>
      <c r="QWX70" s="228"/>
      <c r="QWY70" s="228"/>
      <c r="QWZ70" s="228"/>
      <c r="QXA70" s="228"/>
      <c r="QXB70" s="228"/>
      <c r="QXC70" s="226"/>
      <c r="QXD70" s="226"/>
      <c r="QXE70" s="224"/>
      <c r="QXF70" s="225"/>
      <c r="QXG70" s="226"/>
      <c r="QXH70" s="227"/>
      <c r="QXI70" s="228"/>
      <c r="QXJ70" s="228"/>
      <c r="QXK70" s="228"/>
      <c r="QXL70" s="228"/>
      <c r="QXM70" s="228"/>
      <c r="QXN70" s="228"/>
      <c r="QXO70" s="226"/>
      <c r="QXP70" s="226"/>
      <c r="QXQ70" s="224"/>
      <c r="QXR70" s="225"/>
      <c r="QXS70" s="226"/>
      <c r="QXT70" s="227"/>
      <c r="QXU70" s="228"/>
      <c r="QXV70" s="228"/>
      <c r="QXW70" s="228"/>
      <c r="QXX70" s="228"/>
      <c r="QXY70" s="228"/>
      <c r="QXZ70" s="228"/>
      <c r="QYA70" s="226"/>
      <c r="QYB70" s="226"/>
      <c r="QYC70" s="224"/>
      <c r="QYD70" s="225"/>
      <c r="QYE70" s="226"/>
      <c r="QYF70" s="227"/>
      <c r="QYG70" s="228"/>
      <c r="QYH70" s="228"/>
      <c r="QYI70" s="228"/>
      <c r="QYJ70" s="228"/>
      <c r="QYK70" s="228"/>
      <c r="QYL70" s="228"/>
      <c r="QYM70" s="226"/>
      <c r="QYN70" s="226"/>
      <c r="QYO70" s="224"/>
      <c r="QYP70" s="225"/>
      <c r="QYQ70" s="226"/>
      <c r="QYR70" s="227"/>
      <c r="QYS70" s="228"/>
      <c r="QYT70" s="228"/>
      <c r="QYU70" s="228"/>
      <c r="QYV70" s="228"/>
      <c r="QYW70" s="228"/>
      <c r="QYX70" s="228"/>
      <c r="QYY70" s="226"/>
      <c r="QYZ70" s="226"/>
      <c r="QZA70" s="224"/>
      <c r="QZB70" s="225"/>
      <c r="QZC70" s="226"/>
      <c r="QZD70" s="227"/>
      <c r="QZE70" s="228"/>
      <c r="QZF70" s="228"/>
      <c r="QZG70" s="228"/>
      <c r="QZH70" s="228"/>
      <c r="QZI70" s="228"/>
      <c r="QZJ70" s="228"/>
      <c r="QZK70" s="226"/>
      <c r="QZL70" s="226"/>
      <c r="QZM70" s="224"/>
      <c r="QZN70" s="225"/>
      <c r="QZO70" s="226"/>
      <c r="QZP70" s="227"/>
      <c r="QZQ70" s="228"/>
      <c r="QZR70" s="228"/>
      <c r="QZS70" s="228"/>
      <c r="QZT70" s="228"/>
      <c r="QZU70" s="228"/>
      <c r="QZV70" s="228"/>
      <c r="QZW70" s="226"/>
      <c r="QZX70" s="226"/>
      <c r="QZY70" s="224"/>
      <c r="QZZ70" s="225"/>
      <c r="RAA70" s="226"/>
      <c r="RAB70" s="227"/>
      <c r="RAC70" s="228"/>
      <c r="RAD70" s="228"/>
      <c r="RAE70" s="228"/>
      <c r="RAF70" s="228"/>
      <c r="RAG70" s="228"/>
      <c r="RAH70" s="228"/>
      <c r="RAI70" s="226"/>
      <c r="RAJ70" s="226"/>
      <c r="RAK70" s="224"/>
      <c r="RAL70" s="225"/>
      <c r="RAM70" s="226"/>
      <c r="RAN70" s="227"/>
      <c r="RAO70" s="228"/>
      <c r="RAP70" s="228"/>
      <c r="RAQ70" s="228"/>
      <c r="RAR70" s="228"/>
      <c r="RAS70" s="228"/>
      <c r="RAT70" s="228"/>
      <c r="RAU70" s="226"/>
      <c r="RAV70" s="226"/>
      <c r="RAW70" s="224"/>
      <c r="RAX70" s="225"/>
      <c r="RAY70" s="226"/>
      <c r="RAZ70" s="227"/>
      <c r="RBA70" s="228"/>
      <c r="RBB70" s="228"/>
      <c r="RBC70" s="228"/>
      <c r="RBD70" s="228"/>
      <c r="RBE70" s="228"/>
      <c r="RBF70" s="228"/>
      <c r="RBG70" s="226"/>
      <c r="RBH70" s="226"/>
      <c r="RBI70" s="224"/>
      <c r="RBJ70" s="225"/>
      <c r="RBK70" s="226"/>
      <c r="RBL70" s="227"/>
      <c r="RBM70" s="228"/>
      <c r="RBN70" s="228"/>
      <c r="RBO70" s="228"/>
      <c r="RBP70" s="228"/>
      <c r="RBQ70" s="228"/>
      <c r="RBR70" s="228"/>
      <c r="RBS70" s="226"/>
      <c r="RBT70" s="226"/>
      <c r="RBU70" s="224"/>
      <c r="RBV70" s="225"/>
      <c r="RBW70" s="226"/>
      <c r="RBX70" s="227"/>
      <c r="RBY70" s="228"/>
      <c r="RBZ70" s="228"/>
      <c r="RCA70" s="228"/>
      <c r="RCB70" s="228"/>
      <c r="RCC70" s="228"/>
      <c r="RCD70" s="228"/>
      <c r="RCE70" s="226"/>
      <c r="RCF70" s="226"/>
      <c r="RCG70" s="224"/>
      <c r="RCH70" s="225"/>
      <c r="RCI70" s="226"/>
      <c r="RCJ70" s="227"/>
      <c r="RCK70" s="228"/>
      <c r="RCL70" s="228"/>
      <c r="RCM70" s="228"/>
      <c r="RCN70" s="228"/>
      <c r="RCO70" s="228"/>
      <c r="RCP70" s="228"/>
      <c r="RCQ70" s="226"/>
      <c r="RCR70" s="226"/>
      <c r="RCS70" s="224"/>
      <c r="RCT70" s="225"/>
      <c r="RCU70" s="226"/>
      <c r="RCV70" s="227"/>
      <c r="RCW70" s="228"/>
      <c r="RCX70" s="228"/>
      <c r="RCY70" s="228"/>
      <c r="RCZ70" s="228"/>
      <c r="RDA70" s="228"/>
      <c r="RDB70" s="228"/>
      <c r="RDC70" s="226"/>
      <c r="RDD70" s="226"/>
      <c r="RDE70" s="224"/>
      <c r="RDF70" s="225"/>
      <c r="RDG70" s="226"/>
      <c r="RDH70" s="227"/>
      <c r="RDI70" s="228"/>
      <c r="RDJ70" s="228"/>
      <c r="RDK70" s="228"/>
      <c r="RDL70" s="228"/>
      <c r="RDM70" s="228"/>
      <c r="RDN70" s="228"/>
      <c r="RDO70" s="226"/>
      <c r="RDP70" s="226"/>
      <c r="RDQ70" s="224"/>
      <c r="RDR70" s="225"/>
      <c r="RDS70" s="226"/>
      <c r="RDT70" s="227"/>
      <c r="RDU70" s="228"/>
      <c r="RDV70" s="228"/>
      <c r="RDW70" s="228"/>
      <c r="RDX70" s="228"/>
      <c r="RDY70" s="228"/>
      <c r="RDZ70" s="228"/>
      <c r="REA70" s="226"/>
      <c r="REB70" s="226"/>
      <c r="REC70" s="224"/>
      <c r="RED70" s="225"/>
      <c r="REE70" s="226"/>
      <c r="REF70" s="227"/>
      <c r="REG70" s="228"/>
      <c r="REH70" s="228"/>
      <c r="REI70" s="228"/>
      <c r="REJ70" s="228"/>
      <c r="REK70" s="228"/>
      <c r="REL70" s="228"/>
      <c r="REM70" s="226"/>
      <c r="REN70" s="226"/>
      <c r="REO70" s="224"/>
      <c r="REP70" s="225"/>
      <c r="REQ70" s="226"/>
      <c r="RER70" s="227"/>
      <c r="RES70" s="228"/>
      <c r="RET70" s="228"/>
      <c r="REU70" s="228"/>
      <c r="REV70" s="228"/>
      <c r="REW70" s="228"/>
      <c r="REX70" s="228"/>
      <c r="REY70" s="226"/>
      <c r="REZ70" s="226"/>
      <c r="RFA70" s="224"/>
      <c r="RFB70" s="225"/>
      <c r="RFC70" s="226"/>
      <c r="RFD70" s="227"/>
      <c r="RFE70" s="228"/>
      <c r="RFF70" s="228"/>
      <c r="RFG70" s="228"/>
      <c r="RFH70" s="228"/>
      <c r="RFI70" s="228"/>
      <c r="RFJ70" s="228"/>
      <c r="RFK70" s="226"/>
      <c r="RFL70" s="226"/>
      <c r="RFM70" s="224"/>
      <c r="RFN70" s="225"/>
      <c r="RFO70" s="226"/>
      <c r="RFP70" s="227"/>
      <c r="RFQ70" s="228"/>
      <c r="RFR70" s="228"/>
      <c r="RFS70" s="228"/>
      <c r="RFT70" s="228"/>
      <c r="RFU70" s="228"/>
      <c r="RFV70" s="228"/>
      <c r="RFW70" s="226"/>
      <c r="RFX70" s="226"/>
      <c r="RFY70" s="224"/>
      <c r="RFZ70" s="225"/>
      <c r="RGA70" s="226"/>
      <c r="RGB70" s="227"/>
      <c r="RGC70" s="228"/>
      <c r="RGD70" s="228"/>
      <c r="RGE70" s="228"/>
      <c r="RGF70" s="228"/>
      <c r="RGG70" s="228"/>
      <c r="RGH70" s="228"/>
      <c r="RGI70" s="226"/>
      <c r="RGJ70" s="226"/>
      <c r="RGK70" s="224"/>
      <c r="RGL70" s="225"/>
      <c r="RGM70" s="226"/>
      <c r="RGN70" s="227"/>
      <c r="RGO70" s="228"/>
      <c r="RGP70" s="228"/>
      <c r="RGQ70" s="228"/>
      <c r="RGR70" s="228"/>
      <c r="RGS70" s="228"/>
      <c r="RGT70" s="228"/>
      <c r="RGU70" s="226"/>
      <c r="RGV70" s="226"/>
      <c r="RGW70" s="224"/>
      <c r="RGX70" s="225"/>
      <c r="RGY70" s="226"/>
      <c r="RGZ70" s="227"/>
      <c r="RHA70" s="228"/>
      <c r="RHB70" s="228"/>
      <c r="RHC70" s="228"/>
      <c r="RHD70" s="228"/>
      <c r="RHE70" s="228"/>
      <c r="RHF70" s="228"/>
      <c r="RHG70" s="226"/>
      <c r="RHH70" s="226"/>
      <c r="RHI70" s="224"/>
      <c r="RHJ70" s="225"/>
      <c r="RHK70" s="226"/>
      <c r="RHL70" s="227"/>
      <c r="RHM70" s="228"/>
      <c r="RHN70" s="228"/>
      <c r="RHO70" s="228"/>
      <c r="RHP70" s="228"/>
      <c r="RHQ70" s="228"/>
      <c r="RHR70" s="228"/>
      <c r="RHS70" s="226"/>
      <c r="RHT70" s="226"/>
      <c r="RHU70" s="224"/>
      <c r="RHV70" s="225"/>
      <c r="RHW70" s="226"/>
      <c r="RHX70" s="227"/>
      <c r="RHY70" s="228"/>
      <c r="RHZ70" s="228"/>
      <c r="RIA70" s="228"/>
      <c r="RIB70" s="228"/>
      <c r="RIC70" s="228"/>
      <c r="RID70" s="228"/>
      <c r="RIE70" s="226"/>
      <c r="RIF70" s="226"/>
      <c r="RIG70" s="224"/>
      <c r="RIH70" s="225"/>
      <c r="RII70" s="226"/>
      <c r="RIJ70" s="227"/>
      <c r="RIK70" s="228"/>
      <c r="RIL70" s="228"/>
      <c r="RIM70" s="228"/>
      <c r="RIN70" s="228"/>
      <c r="RIO70" s="228"/>
      <c r="RIP70" s="228"/>
      <c r="RIQ70" s="226"/>
      <c r="RIR70" s="226"/>
      <c r="RIS70" s="224"/>
      <c r="RIT70" s="225"/>
      <c r="RIU70" s="226"/>
      <c r="RIV70" s="227"/>
      <c r="RIW70" s="228"/>
      <c r="RIX70" s="228"/>
      <c r="RIY70" s="228"/>
      <c r="RIZ70" s="228"/>
      <c r="RJA70" s="228"/>
      <c r="RJB70" s="228"/>
      <c r="RJC70" s="226"/>
      <c r="RJD70" s="226"/>
      <c r="RJE70" s="224"/>
      <c r="RJF70" s="225"/>
      <c r="RJG70" s="226"/>
      <c r="RJH70" s="227"/>
      <c r="RJI70" s="228"/>
      <c r="RJJ70" s="228"/>
      <c r="RJK70" s="228"/>
      <c r="RJL70" s="228"/>
      <c r="RJM70" s="228"/>
      <c r="RJN70" s="228"/>
      <c r="RJO70" s="226"/>
      <c r="RJP70" s="226"/>
      <c r="RJQ70" s="224"/>
      <c r="RJR70" s="225"/>
      <c r="RJS70" s="226"/>
      <c r="RJT70" s="227"/>
      <c r="RJU70" s="228"/>
      <c r="RJV70" s="228"/>
      <c r="RJW70" s="228"/>
      <c r="RJX70" s="228"/>
      <c r="RJY70" s="228"/>
      <c r="RJZ70" s="228"/>
      <c r="RKA70" s="226"/>
      <c r="RKB70" s="226"/>
      <c r="RKC70" s="224"/>
      <c r="RKD70" s="225"/>
      <c r="RKE70" s="226"/>
      <c r="RKF70" s="227"/>
      <c r="RKG70" s="228"/>
      <c r="RKH70" s="228"/>
      <c r="RKI70" s="228"/>
      <c r="RKJ70" s="228"/>
      <c r="RKK70" s="228"/>
      <c r="RKL70" s="228"/>
      <c r="RKM70" s="226"/>
      <c r="RKN70" s="226"/>
      <c r="RKO70" s="224"/>
      <c r="RKP70" s="225"/>
      <c r="RKQ70" s="226"/>
      <c r="RKR70" s="227"/>
      <c r="RKS70" s="228"/>
      <c r="RKT70" s="228"/>
      <c r="RKU70" s="228"/>
      <c r="RKV70" s="228"/>
      <c r="RKW70" s="228"/>
      <c r="RKX70" s="228"/>
      <c r="RKY70" s="226"/>
      <c r="RKZ70" s="226"/>
      <c r="RLA70" s="224"/>
      <c r="RLB70" s="225"/>
      <c r="RLC70" s="226"/>
      <c r="RLD70" s="227"/>
      <c r="RLE70" s="228"/>
      <c r="RLF70" s="228"/>
      <c r="RLG70" s="228"/>
      <c r="RLH70" s="228"/>
      <c r="RLI70" s="228"/>
      <c r="RLJ70" s="228"/>
      <c r="RLK70" s="226"/>
      <c r="RLL70" s="226"/>
      <c r="RLM70" s="224"/>
      <c r="RLN70" s="225"/>
      <c r="RLO70" s="226"/>
      <c r="RLP70" s="227"/>
      <c r="RLQ70" s="228"/>
      <c r="RLR70" s="228"/>
      <c r="RLS70" s="228"/>
      <c r="RLT70" s="228"/>
      <c r="RLU70" s="228"/>
      <c r="RLV70" s="228"/>
      <c r="RLW70" s="226"/>
      <c r="RLX70" s="226"/>
      <c r="RLY70" s="224"/>
      <c r="RLZ70" s="225"/>
      <c r="RMA70" s="226"/>
      <c r="RMB70" s="227"/>
      <c r="RMC70" s="228"/>
      <c r="RMD70" s="228"/>
      <c r="RME70" s="228"/>
      <c r="RMF70" s="228"/>
      <c r="RMG70" s="228"/>
      <c r="RMH70" s="228"/>
      <c r="RMI70" s="226"/>
      <c r="RMJ70" s="226"/>
      <c r="RMK70" s="224"/>
      <c r="RML70" s="225"/>
      <c r="RMM70" s="226"/>
      <c r="RMN70" s="227"/>
      <c r="RMO70" s="228"/>
      <c r="RMP70" s="228"/>
      <c r="RMQ70" s="228"/>
      <c r="RMR70" s="228"/>
      <c r="RMS70" s="228"/>
      <c r="RMT70" s="228"/>
      <c r="RMU70" s="226"/>
      <c r="RMV70" s="226"/>
      <c r="RMW70" s="224"/>
      <c r="RMX70" s="225"/>
      <c r="RMY70" s="226"/>
      <c r="RMZ70" s="227"/>
      <c r="RNA70" s="228"/>
      <c r="RNB70" s="228"/>
      <c r="RNC70" s="228"/>
      <c r="RND70" s="228"/>
      <c r="RNE70" s="228"/>
      <c r="RNF70" s="228"/>
      <c r="RNG70" s="226"/>
      <c r="RNH70" s="226"/>
      <c r="RNI70" s="224"/>
      <c r="RNJ70" s="225"/>
      <c r="RNK70" s="226"/>
      <c r="RNL70" s="227"/>
      <c r="RNM70" s="228"/>
      <c r="RNN70" s="228"/>
      <c r="RNO70" s="228"/>
      <c r="RNP70" s="228"/>
      <c r="RNQ70" s="228"/>
      <c r="RNR70" s="228"/>
      <c r="RNS70" s="226"/>
      <c r="RNT70" s="226"/>
      <c r="RNU70" s="224"/>
      <c r="RNV70" s="225"/>
      <c r="RNW70" s="226"/>
      <c r="RNX70" s="227"/>
      <c r="RNY70" s="228"/>
      <c r="RNZ70" s="228"/>
      <c r="ROA70" s="228"/>
      <c r="ROB70" s="228"/>
      <c r="ROC70" s="228"/>
      <c r="ROD70" s="228"/>
      <c r="ROE70" s="226"/>
      <c r="ROF70" s="226"/>
      <c r="ROG70" s="224"/>
      <c r="ROH70" s="225"/>
      <c r="ROI70" s="226"/>
      <c r="ROJ70" s="227"/>
      <c r="ROK70" s="228"/>
      <c r="ROL70" s="228"/>
      <c r="ROM70" s="228"/>
      <c r="RON70" s="228"/>
      <c r="ROO70" s="228"/>
      <c r="ROP70" s="228"/>
      <c r="ROQ70" s="226"/>
      <c r="ROR70" s="226"/>
      <c r="ROS70" s="224"/>
      <c r="ROT70" s="225"/>
      <c r="ROU70" s="226"/>
      <c r="ROV70" s="227"/>
      <c r="ROW70" s="228"/>
      <c r="ROX70" s="228"/>
      <c r="ROY70" s="228"/>
      <c r="ROZ70" s="228"/>
      <c r="RPA70" s="228"/>
      <c r="RPB70" s="228"/>
      <c r="RPC70" s="226"/>
      <c r="RPD70" s="226"/>
      <c r="RPE70" s="224"/>
      <c r="RPF70" s="225"/>
      <c r="RPG70" s="226"/>
      <c r="RPH70" s="227"/>
      <c r="RPI70" s="228"/>
      <c r="RPJ70" s="228"/>
      <c r="RPK70" s="228"/>
      <c r="RPL70" s="228"/>
      <c r="RPM70" s="228"/>
      <c r="RPN70" s="228"/>
      <c r="RPO70" s="226"/>
      <c r="RPP70" s="226"/>
      <c r="RPQ70" s="224"/>
      <c r="RPR70" s="225"/>
      <c r="RPS70" s="226"/>
      <c r="RPT70" s="227"/>
      <c r="RPU70" s="228"/>
      <c r="RPV70" s="228"/>
      <c r="RPW70" s="228"/>
      <c r="RPX70" s="228"/>
      <c r="RPY70" s="228"/>
      <c r="RPZ70" s="228"/>
      <c r="RQA70" s="226"/>
      <c r="RQB70" s="226"/>
      <c r="RQC70" s="224"/>
      <c r="RQD70" s="225"/>
      <c r="RQE70" s="226"/>
      <c r="RQF70" s="227"/>
      <c r="RQG70" s="228"/>
      <c r="RQH70" s="228"/>
      <c r="RQI70" s="228"/>
      <c r="RQJ70" s="228"/>
      <c r="RQK70" s="228"/>
      <c r="RQL70" s="228"/>
      <c r="RQM70" s="226"/>
      <c r="RQN70" s="226"/>
      <c r="RQO70" s="224"/>
      <c r="RQP70" s="225"/>
      <c r="RQQ70" s="226"/>
      <c r="RQR70" s="227"/>
      <c r="RQS70" s="228"/>
      <c r="RQT70" s="228"/>
      <c r="RQU70" s="228"/>
      <c r="RQV70" s="228"/>
      <c r="RQW70" s="228"/>
      <c r="RQX70" s="228"/>
      <c r="RQY70" s="226"/>
      <c r="RQZ70" s="226"/>
      <c r="RRA70" s="224"/>
      <c r="RRB70" s="225"/>
      <c r="RRC70" s="226"/>
      <c r="RRD70" s="227"/>
      <c r="RRE70" s="228"/>
      <c r="RRF70" s="228"/>
      <c r="RRG70" s="228"/>
      <c r="RRH70" s="228"/>
      <c r="RRI70" s="228"/>
      <c r="RRJ70" s="228"/>
      <c r="RRK70" s="226"/>
      <c r="RRL70" s="226"/>
      <c r="RRM70" s="224"/>
      <c r="RRN70" s="225"/>
      <c r="RRO70" s="226"/>
      <c r="RRP70" s="227"/>
      <c r="RRQ70" s="228"/>
      <c r="RRR70" s="228"/>
      <c r="RRS70" s="228"/>
      <c r="RRT70" s="228"/>
      <c r="RRU70" s="228"/>
      <c r="RRV70" s="228"/>
      <c r="RRW70" s="226"/>
      <c r="RRX70" s="226"/>
      <c r="RRY70" s="224"/>
      <c r="RRZ70" s="225"/>
      <c r="RSA70" s="226"/>
      <c r="RSB70" s="227"/>
      <c r="RSC70" s="228"/>
      <c r="RSD70" s="228"/>
      <c r="RSE70" s="228"/>
      <c r="RSF70" s="228"/>
      <c r="RSG70" s="228"/>
      <c r="RSH70" s="228"/>
      <c r="RSI70" s="226"/>
      <c r="RSJ70" s="226"/>
      <c r="RSK70" s="224"/>
      <c r="RSL70" s="225"/>
      <c r="RSM70" s="226"/>
      <c r="RSN70" s="227"/>
      <c r="RSO70" s="228"/>
      <c r="RSP70" s="228"/>
      <c r="RSQ70" s="228"/>
      <c r="RSR70" s="228"/>
      <c r="RSS70" s="228"/>
      <c r="RST70" s="228"/>
      <c r="RSU70" s="226"/>
      <c r="RSV70" s="226"/>
      <c r="RSW70" s="224"/>
      <c r="RSX70" s="225"/>
      <c r="RSY70" s="226"/>
      <c r="RSZ70" s="227"/>
      <c r="RTA70" s="228"/>
      <c r="RTB70" s="228"/>
      <c r="RTC70" s="228"/>
      <c r="RTD70" s="228"/>
      <c r="RTE70" s="228"/>
      <c r="RTF70" s="228"/>
      <c r="RTG70" s="226"/>
      <c r="RTH70" s="226"/>
      <c r="RTI70" s="224"/>
      <c r="RTJ70" s="225"/>
      <c r="RTK70" s="226"/>
      <c r="RTL70" s="227"/>
      <c r="RTM70" s="228"/>
      <c r="RTN70" s="228"/>
      <c r="RTO70" s="228"/>
      <c r="RTP70" s="228"/>
      <c r="RTQ70" s="228"/>
      <c r="RTR70" s="228"/>
      <c r="RTS70" s="226"/>
      <c r="RTT70" s="226"/>
      <c r="RTU70" s="224"/>
      <c r="RTV70" s="225"/>
      <c r="RTW70" s="226"/>
      <c r="RTX70" s="227"/>
      <c r="RTY70" s="228"/>
      <c r="RTZ70" s="228"/>
      <c r="RUA70" s="228"/>
      <c r="RUB70" s="228"/>
      <c r="RUC70" s="228"/>
      <c r="RUD70" s="228"/>
      <c r="RUE70" s="226"/>
      <c r="RUF70" s="226"/>
      <c r="RUG70" s="224"/>
      <c r="RUH70" s="225"/>
      <c r="RUI70" s="226"/>
      <c r="RUJ70" s="227"/>
      <c r="RUK70" s="228"/>
      <c r="RUL70" s="228"/>
      <c r="RUM70" s="228"/>
      <c r="RUN70" s="228"/>
      <c r="RUO70" s="228"/>
      <c r="RUP70" s="228"/>
      <c r="RUQ70" s="226"/>
      <c r="RUR70" s="226"/>
      <c r="RUS70" s="224"/>
      <c r="RUT70" s="225"/>
      <c r="RUU70" s="226"/>
      <c r="RUV70" s="227"/>
      <c r="RUW70" s="228"/>
      <c r="RUX70" s="228"/>
      <c r="RUY70" s="228"/>
      <c r="RUZ70" s="228"/>
      <c r="RVA70" s="228"/>
      <c r="RVB70" s="228"/>
      <c r="RVC70" s="226"/>
      <c r="RVD70" s="226"/>
      <c r="RVE70" s="224"/>
      <c r="RVF70" s="225"/>
      <c r="RVG70" s="226"/>
      <c r="RVH70" s="227"/>
      <c r="RVI70" s="228"/>
      <c r="RVJ70" s="228"/>
      <c r="RVK70" s="228"/>
      <c r="RVL70" s="228"/>
      <c r="RVM70" s="228"/>
      <c r="RVN70" s="228"/>
      <c r="RVO70" s="226"/>
      <c r="RVP70" s="226"/>
      <c r="RVQ70" s="224"/>
      <c r="RVR70" s="225"/>
      <c r="RVS70" s="226"/>
      <c r="RVT70" s="227"/>
      <c r="RVU70" s="228"/>
      <c r="RVV70" s="228"/>
      <c r="RVW70" s="228"/>
      <c r="RVX70" s="228"/>
      <c r="RVY70" s="228"/>
      <c r="RVZ70" s="228"/>
      <c r="RWA70" s="226"/>
      <c r="RWB70" s="226"/>
      <c r="RWC70" s="224"/>
      <c r="RWD70" s="225"/>
      <c r="RWE70" s="226"/>
      <c r="RWF70" s="227"/>
      <c r="RWG70" s="228"/>
      <c r="RWH70" s="228"/>
      <c r="RWI70" s="228"/>
      <c r="RWJ70" s="228"/>
      <c r="RWK70" s="228"/>
      <c r="RWL70" s="228"/>
      <c r="RWM70" s="226"/>
      <c r="RWN70" s="226"/>
      <c r="RWO70" s="224"/>
      <c r="RWP70" s="225"/>
      <c r="RWQ70" s="226"/>
      <c r="RWR70" s="227"/>
      <c r="RWS70" s="228"/>
      <c r="RWT70" s="228"/>
      <c r="RWU70" s="228"/>
      <c r="RWV70" s="228"/>
      <c r="RWW70" s="228"/>
      <c r="RWX70" s="228"/>
      <c r="RWY70" s="226"/>
      <c r="RWZ70" s="226"/>
      <c r="RXA70" s="224"/>
      <c r="RXB70" s="225"/>
      <c r="RXC70" s="226"/>
      <c r="RXD70" s="227"/>
      <c r="RXE70" s="228"/>
      <c r="RXF70" s="228"/>
      <c r="RXG70" s="228"/>
      <c r="RXH70" s="228"/>
      <c r="RXI70" s="228"/>
      <c r="RXJ70" s="228"/>
      <c r="RXK70" s="226"/>
      <c r="RXL70" s="226"/>
      <c r="RXM70" s="224"/>
      <c r="RXN70" s="225"/>
      <c r="RXO70" s="226"/>
      <c r="RXP70" s="227"/>
      <c r="RXQ70" s="228"/>
      <c r="RXR70" s="228"/>
      <c r="RXS70" s="228"/>
      <c r="RXT70" s="228"/>
      <c r="RXU70" s="228"/>
      <c r="RXV70" s="228"/>
      <c r="RXW70" s="226"/>
      <c r="RXX70" s="226"/>
      <c r="RXY70" s="224"/>
      <c r="RXZ70" s="225"/>
      <c r="RYA70" s="226"/>
      <c r="RYB70" s="227"/>
      <c r="RYC70" s="228"/>
      <c r="RYD70" s="228"/>
      <c r="RYE70" s="228"/>
      <c r="RYF70" s="228"/>
      <c r="RYG70" s="228"/>
      <c r="RYH70" s="228"/>
      <c r="RYI70" s="226"/>
      <c r="RYJ70" s="226"/>
      <c r="RYK70" s="224"/>
      <c r="RYL70" s="225"/>
      <c r="RYM70" s="226"/>
      <c r="RYN70" s="227"/>
      <c r="RYO70" s="228"/>
      <c r="RYP70" s="228"/>
      <c r="RYQ70" s="228"/>
      <c r="RYR70" s="228"/>
      <c r="RYS70" s="228"/>
      <c r="RYT70" s="228"/>
      <c r="RYU70" s="226"/>
      <c r="RYV70" s="226"/>
      <c r="RYW70" s="224"/>
      <c r="RYX70" s="225"/>
      <c r="RYY70" s="226"/>
      <c r="RYZ70" s="227"/>
      <c r="RZA70" s="228"/>
      <c r="RZB70" s="228"/>
      <c r="RZC70" s="228"/>
      <c r="RZD70" s="228"/>
      <c r="RZE70" s="228"/>
      <c r="RZF70" s="228"/>
      <c r="RZG70" s="226"/>
      <c r="RZH70" s="226"/>
      <c r="RZI70" s="224"/>
      <c r="RZJ70" s="225"/>
      <c r="RZK70" s="226"/>
      <c r="RZL70" s="227"/>
      <c r="RZM70" s="228"/>
      <c r="RZN70" s="228"/>
      <c r="RZO70" s="228"/>
      <c r="RZP70" s="228"/>
      <c r="RZQ70" s="228"/>
      <c r="RZR70" s="228"/>
      <c r="RZS70" s="226"/>
      <c r="RZT70" s="226"/>
      <c r="RZU70" s="224"/>
      <c r="RZV70" s="225"/>
      <c r="RZW70" s="226"/>
      <c r="RZX70" s="227"/>
      <c r="RZY70" s="228"/>
      <c r="RZZ70" s="228"/>
      <c r="SAA70" s="228"/>
      <c r="SAB70" s="228"/>
      <c r="SAC70" s="228"/>
      <c r="SAD70" s="228"/>
      <c r="SAE70" s="226"/>
      <c r="SAF70" s="226"/>
      <c r="SAG70" s="224"/>
      <c r="SAH70" s="225"/>
      <c r="SAI70" s="226"/>
      <c r="SAJ70" s="227"/>
      <c r="SAK70" s="228"/>
      <c r="SAL70" s="228"/>
      <c r="SAM70" s="228"/>
      <c r="SAN70" s="228"/>
      <c r="SAO70" s="228"/>
      <c r="SAP70" s="228"/>
      <c r="SAQ70" s="226"/>
      <c r="SAR70" s="226"/>
      <c r="SAS70" s="224"/>
      <c r="SAT70" s="225"/>
      <c r="SAU70" s="226"/>
      <c r="SAV70" s="227"/>
      <c r="SAW70" s="228"/>
      <c r="SAX70" s="228"/>
      <c r="SAY70" s="228"/>
      <c r="SAZ70" s="228"/>
      <c r="SBA70" s="228"/>
      <c r="SBB70" s="228"/>
      <c r="SBC70" s="226"/>
      <c r="SBD70" s="226"/>
      <c r="SBE70" s="224"/>
      <c r="SBF70" s="225"/>
      <c r="SBG70" s="226"/>
      <c r="SBH70" s="227"/>
      <c r="SBI70" s="228"/>
      <c r="SBJ70" s="228"/>
      <c r="SBK70" s="228"/>
      <c r="SBL70" s="228"/>
      <c r="SBM70" s="228"/>
      <c r="SBN70" s="228"/>
      <c r="SBO70" s="226"/>
      <c r="SBP70" s="226"/>
      <c r="SBQ70" s="224"/>
      <c r="SBR70" s="225"/>
      <c r="SBS70" s="226"/>
      <c r="SBT70" s="227"/>
      <c r="SBU70" s="228"/>
      <c r="SBV70" s="228"/>
      <c r="SBW70" s="228"/>
      <c r="SBX70" s="228"/>
      <c r="SBY70" s="228"/>
      <c r="SBZ70" s="228"/>
      <c r="SCA70" s="226"/>
      <c r="SCB70" s="226"/>
      <c r="SCC70" s="224"/>
      <c r="SCD70" s="225"/>
      <c r="SCE70" s="226"/>
      <c r="SCF70" s="227"/>
      <c r="SCG70" s="228"/>
      <c r="SCH70" s="228"/>
      <c r="SCI70" s="228"/>
      <c r="SCJ70" s="228"/>
      <c r="SCK70" s="228"/>
      <c r="SCL70" s="228"/>
      <c r="SCM70" s="226"/>
      <c r="SCN70" s="226"/>
      <c r="SCO70" s="224"/>
      <c r="SCP70" s="225"/>
      <c r="SCQ70" s="226"/>
      <c r="SCR70" s="227"/>
      <c r="SCS70" s="228"/>
      <c r="SCT70" s="228"/>
      <c r="SCU70" s="228"/>
      <c r="SCV70" s="228"/>
      <c r="SCW70" s="228"/>
      <c r="SCX70" s="228"/>
      <c r="SCY70" s="226"/>
      <c r="SCZ70" s="226"/>
      <c r="SDA70" s="224"/>
      <c r="SDB70" s="225"/>
      <c r="SDC70" s="226"/>
      <c r="SDD70" s="227"/>
      <c r="SDE70" s="228"/>
      <c r="SDF70" s="228"/>
      <c r="SDG70" s="228"/>
      <c r="SDH70" s="228"/>
      <c r="SDI70" s="228"/>
      <c r="SDJ70" s="228"/>
      <c r="SDK70" s="226"/>
      <c r="SDL70" s="226"/>
      <c r="SDM70" s="224"/>
      <c r="SDN70" s="225"/>
      <c r="SDO70" s="226"/>
      <c r="SDP70" s="227"/>
      <c r="SDQ70" s="228"/>
      <c r="SDR70" s="228"/>
      <c r="SDS70" s="228"/>
      <c r="SDT70" s="228"/>
      <c r="SDU70" s="228"/>
      <c r="SDV70" s="228"/>
      <c r="SDW70" s="226"/>
      <c r="SDX70" s="226"/>
      <c r="SDY70" s="224"/>
      <c r="SDZ70" s="225"/>
      <c r="SEA70" s="226"/>
      <c r="SEB70" s="227"/>
      <c r="SEC70" s="228"/>
      <c r="SED70" s="228"/>
      <c r="SEE70" s="228"/>
      <c r="SEF70" s="228"/>
      <c r="SEG70" s="228"/>
      <c r="SEH70" s="228"/>
      <c r="SEI70" s="226"/>
      <c r="SEJ70" s="226"/>
      <c r="SEK70" s="224"/>
      <c r="SEL70" s="225"/>
      <c r="SEM70" s="226"/>
      <c r="SEN70" s="227"/>
      <c r="SEO70" s="228"/>
      <c r="SEP70" s="228"/>
      <c r="SEQ70" s="228"/>
      <c r="SER70" s="228"/>
      <c r="SES70" s="228"/>
      <c r="SET70" s="228"/>
      <c r="SEU70" s="226"/>
      <c r="SEV70" s="226"/>
      <c r="SEW70" s="224"/>
      <c r="SEX70" s="225"/>
      <c r="SEY70" s="226"/>
      <c r="SEZ70" s="227"/>
      <c r="SFA70" s="228"/>
      <c r="SFB70" s="228"/>
      <c r="SFC70" s="228"/>
      <c r="SFD70" s="228"/>
      <c r="SFE70" s="228"/>
      <c r="SFF70" s="228"/>
      <c r="SFG70" s="226"/>
      <c r="SFH70" s="226"/>
      <c r="SFI70" s="224"/>
      <c r="SFJ70" s="225"/>
      <c r="SFK70" s="226"/>
      <c r="SFL70" s="227"/>
      <c r="SFM70" s="228"/>
      <c r="SFN70" s="228"/>
      <c r="SFO70" s="228"/>
      <c r="SFP70" s="228"/>
      <c r="SFQ70" s="228"/>
      <c r="SFR70" s="228"/>
      <c r="SFS70" s="226"/>
      <c r="SFT70" s="226"/>
      <c r="SFU70" s="224"/>
      <c r="SFV70" s="225"/>
      <c r="SFW70" s="226"/>
      <c r="SFX70" s="227"/>
      <c r="SFY70" s="228"/>
      <c r="SFZ70" s="228"/>
      <c r="SGA70" s="228"/>
      <c r="SGB70" s="228"/>
      <c r="SGC70" s="228"/>
      <c r="SGD70" s="228"/>
      <c r="SGE70" s="226"/>
      <c r="SGF70" s="226"/>
      <c r="SGG70" s="224"/>
      <c r="SGH70" s="225"/>
      <c r="SGI70" s="226"/>
      <c r="SGJ70" s="227"/>
      <c r="SGK70" s="228"/>
      <c r="SGL70" s="228"/>
      <c r="SGM70" s="228"/>
      <c r="SGN70" s="228"/>
      <c r="SGO70" s="228"/>
      <c r="SGP70" s="228"/>
      <c r="SGQ70" s="226"/>
      <c r="SGR70" s="226"/>
      <c r="SGS70" s="224"/>
      <c r="SGT70" s="225"/>
      <c r="SGU70" s="226"/>
      <c r="SGV70" s="227"/>
      <c r="SGW70" s="228"/>
      <c r="SGX70" s="228"/>
      <c r="SGY70" s="228"/>
      <c r="SGZ70" s="228"/>
      <c r="SHA70" s="228"/>
      <c r="SHB70" s="228"/>
      <c r="SHC70" s="226"/>
      <c r="SHD70" s="226"/>
      <c r="SHE70" s="224"/>
      <c r="SHF70" s="225"/>
      <c r="SHG70" s="226"/>
      <c r="SHH70" s="227"/>
      <c r="SHI70" s="228"/>
      <c r="SHJ70" s="228"/>
      <c r="SHK70" s="228"/>
      <c r="SHL70" s="228"/>
      <c r="SHM70" s="228"/>
      <c r="SHN70" s="228"/>
      <c r="SHO70" s="226"/>
      <c r="SHP70" s="226"/>
      <c r="SHQ70" s="224"/>
      <c r="SHR70" s="225"/>
      <c r="SHS70" s="226"/>
      <c r="SHT70" s="227"/>
      <c r="SHU70" s="228"/>
      <c r="SHV70" s="228"/>
      <c r="SHW70" s="228"/>
      <c r="SHX70" s="228"/>
      <c r="SHY70" s="228"/>
      <c r="SHZ70" s="228"/>
      <c r="SIA70" s="226"/>
      <c r="SIB70" s="226"/>
      <c r="SIC70" s="224"/>
      <c r="SID70" s="225"/>
      <c r="SIE70" s="226"/>
      <c r="SIF70" s="227"/>
      <c r="SIG70" s="228"/>
      <c r="SIH70" s="228"/>
      <c r="SII70" s="228"/>
      <c r="SIJ70" s="228"/>
      <c r="SIK70" s="228"/>
      <c r="SIL70" s="228"/>
      <c r="SIM70" s="226"/>
      <c r="SIN70" s="226"/>
      <c r="SIO70" s="224"/>
      <c r="SIP70" s="225"/>
      <c r="SIQ70" s="226"/>
      <c r="SIR70" s="227"/>
      <c r="SIS70" s="228"/>
      <c r="SIT70" s="228"/>
      <c r="SIU70" s="228"/>
      <c r="SIV70" s="228"/>
      <c r="SIW70" s="228"/>
      <c r="SIX70" s="228"/>
      <c r="SIY70" s="226"/>
      <c r="SIZ70" s="226"/>
      <c r="SJA70" s="224"/>
      <c r="SJB70" s="225"/>
      <c r="SJC70" s="226"/>
      <c r="SJD70" s="227"/>
      <c r="SJE70" s="228"/>
      <c r="SJF70" s="228"/>
      <c r="SJG70" s="228"/>
      <c r="SJH70" s="228"/>
      <c r="SJI70" s="228"/>
      <c r="SJJ70" s="228"/>
      <c r="SJK70" s="226"/>
      <c r="SJL70" s="226"/>
      <c r="SJM70" s="224"/>
      <c r="SJN70" s="225"/>
      <c r="SJO70" s="226"/>
      <c r="SJP70" s="227"/>
      <c r="SJQ70" s="228"/>
      <c r="SJR70" s="228"/>
      <c r="SJS70" s="228"/>
      <c r="SJT70" s="228"/>
      <c r="SJU70" s="228"/>
      <c r="SJV70" s="228"/>
      <c r="SJW70" s="226"/>
      <c r="SJX70" s="226"/>
      <c r="SJY70" s="224"/>
      <c r="SJZ70" s="225"/>
      <c r="SKA70" s="226"/>
      <c r="SKB70" s="227"/>
      <c r="SKC70" s="228"/>
      <c r="SKD70" s="228"/>
      <c r="SKE70" s="228"/>
      <c r="SKF70" s="228"/>
      <c r="SKG70" s="228"/>
      <c r="SKH70" s="228"/>
      <c r="SKI70" s="226"/>
      <c r="SKJ70" s="226"/>
      <c r="SKK70" s="224"/>
      <c r="SKL70" s="225"/>
      <c r="SKM70" s="226"/>
      <c r="SKN70" s="227"/>
      <c r="SKO70" s="228"/>
      <c r="SKP70" s="228"/>
      <c r="SKQ70" s="228"/>
      <c r="SKR70" s="228"/>
      <c r="SKS70" s="228"/>
      <c r="SKT70" s="228"/>
      <c r="SKU70" s="226"/>
      <c r="SKV70" s="226"/>
      <c r="SKW70" s="224"/>
      <c r="SKX70" s="225"/>
      <c r="SKY70" s="226"/>
      <c r="SKZ70" s="227"/>
      <c r="SLA70" s="228"/>
      <c r="SLB70" s="228"/>
      <c r="SLC70" s="228"/>
      <c r="SLD70" s="228"/>
      <c r="SLE70" s="228"/>
      <c r="SLF70" s="228"/>
      <c r="SLG70" s="226"/>
      <c r="SLH70" s="226"/>
      <c r="SLI70" s="224"/>
      <c r="SLJ70" s="225"/>
      <c r="SLK70" s="226"/>
      <c r="SLL70" s="227"/>
      <c r="SLM70" s="228"/>
      <c r="SLN70" s="228"/>
      <c r="SLO70" s="228"/>
      <c r="SLP70" s="228"/>
      <c r="SLQ70" s="228"/>
      <c r="SLR70" s="228"/>
      <c r="SLS70" s="226"/>
      <c r="SLT70" s="226"/>
      <c r="SLU70" s="224"/>
      <c r="SLV70" s="225"/>
      <c r="SLW70" s="226"/>
      <c r="SLX70" s="227"/>
      <c r="SLY70" s="228"/>
      <c r="SLZ70" s="228"/>
      <c r="SMA70" s="228"/>
      <c r="SMB70" s="228"/>
      <c r="SMC70" s="228"/>
      <c r="SMD70" s="228"/>
      <c r="SME70" s="226"/>
      <c r="SMF70" s="226"/>
      <c r="SMG70" s="224"/>
      <c r="SMH70" s="225"/>
      <c r="SMI70" s="226"/>
      <c r="SMJ70" s="227"/>
      <c r="SMK70" s="228"/>
      <c r="SML70" s="228"/>
      <c r="SMM70" s="228"/>
      <c r="SMN70" s="228"/>
      <c r="SMO70" s="228"/>
      <c r="SMP70" s="228"/>
      <c r="SMQ70" s="226"/>
      <c r="SMR70" s="226"/>
      <c r="SMS70" s="224"/>
      <c r="SMT70" s="225"/>
      <c r="SMU70" s="226"/>
      <c r="SMV70" s="227"/>
      <c r="SMW70" s="228"/>
      <c r="SMX70" s="228"/>
      <c r="SMY70" s="228"/>
      <c r="SMZ70" s="228"/>
      <c r="SNA70" s="228"/>
      <c r="SNB70" s="228"/>
      <c r="SNC70" s="226"/>
      <c r="SND70" s="226"/>
      <c r="SNE70" s="224"/>
      <c r="SNF70" s="225"/>
      <c r="SNG70" s="226"/>
      <c r="SNH70" s="227"/>
      <c r="SNI70" s="228"/>
      <c r="SNJ70" s="228"/>
      <c r="SNK70" s="228"/>
      <c r="SNL70" s="228"/>
      <c r="SNM70" s="228"/>
      <c r="SNN70" s="228"/>
      <c r="SNO70" s="226"/>
      <c r="SNP70" s="226"/>
      <c r="SNQ70" s="224"/>
      <c r="SNR70" s="225"/>
      <c r="SNS70" s="226"/>
      <c r="SNT70" s="227"/>
      <c r="SNU70" s="228"/>
      <c r="SNV70" s="228"/>
      <c r="SNW70" s="228"/>
      <c r="SNX70" s="228"/>
      <c r="SNY70" s="228"/>
      <c r="SNZ70" s="228"/>
      <c r="SOA70" s="226"/>
      <c r="SOB70" s="226"/>
      <c r="SOC70" s="224"/>
      <c r="SOD70" s="225"/>
      <c r="SOE70" s="226"/>
      <c r="SOF70" s="227"/>
      <c r="SOG70" s="228"/>
      <c r="SOH70" s="228"/>
      <c r="SOI70" s="228"/>
      <c r="SOJ70" s="228"/>
      <c r="SOK70" s="228"/>
      <c r="SOL70" s="228"/>
      <c r="SOM70" s="226"/>
      <c r="SON70" s="226"/>
      <c r="SOO70" s="224"/>
      <c r="SOP70" s="225"/>
      <c r="SOQ70" s="226"/>
      <c r="SOR70" s="227"/>
      <c r="SOS70" s="228"/>
      <c r="SOT70" s="228"/>
      <c r="SOU70" s="228"/>
      <c r="SOV70" s="228"/>
      <c r="SOW70" s="228"/>
      <c r="SOX70" s="228"/>
      <c r="SOY70" s="226"/>
      <c r="SOZ70" s="226"/>
      <c r="SPA70" s="224"/>
      <c r="SPB70" s="225"/>
      <c r="SPC70" s="226"/>
      <c r="SPD70" s="227"/>
      <c r="SPE70" s="228"/>
      <c r="SPF70" s="228"/>
      <c r="SPG70" s="228"/>
      <c r="SPH70" s="228"/>
      <c r="SPI70" s="228"/>
      <c r="SPJ70" s="228"/>
      <c r="SPK70" s="226"/>
      <c r="SPL70" s="226"/>
      <c r="SPM70" s="224"/>
      <c r="SPN70" s="225"/>
      <c r="SPO70" s="226"/>
      <c r="SPP70" s="227"/>
      <c r="SPQ70" s="228"/>
      <c r="SPR70" s="228"/>
      <c r="SPS70" s="228"/>
      <c r="SPT70" s="228"/>
      <c r="SPU70" s="228"/>
      <c r="SPV70" s="228"/>
      <c r="SPW70" s="226"/>
      <c r="SPX70" s="226"/>
      <c r="SPY70" s="224"/>
      <c r="SPZ70" s="225"/>
      <c r="SQA70" s="226"/>
      <c r="SQB70" s="227"/>
      <c r="SQC70" s="228"/>
      <c r="SQD70" s="228"/>
      <c r="SQE70" s="228"/>
      <c r="SQF70" s="228"/>
      <c r="SQG70" s="228"/>
      <c r="SQH70" s="228"/>
      <c r="SQI70" s="226"/>
      <c r="SQJ70" s="226"/>
      <c r="SQK70" s="224"/>
      <c r="SQL70" s="225"/>
      <c r="SQM70" s="226"/>
      <c r="SQN70" s="227"/>
      <c r="SQO70" s="228"/>
      <c r="SQP70" s="228"/>
      <c r="SQQ70" s="228"/>
      <c r="SQR70" s="228"/>
      <c r="SQS70" s="228"/>
      <c r="SQT70" s="228"/>
      <c r="SQU70" s="226"/>
      <c r="SQV70" s="226"/>
      <c r="SQW70" s="224"/>
      <c r="SQX70" s="225"/>
      <c r="SQY70" s="226"/>
      <c r="SQZ70" s="227"/>
      <c r="SRA70" s="228"/>
      <c r="SRB70" s="228"/>
      <c r="SRC70" s="228"/>
      <c r="SRD70" s="228"/>
      <c r="SRE70" s="228"/>
      <c r="SRF70" s="228"/>
      <c r="SRG70" s="226"/>
      <c r="SRH70" s="226"/>
      <c r="SRI70" s="224"/>
      <c r="SRJ70" s="225"/>
      <c r="SRK70" s="226"/>
      <c r="SRL70" s="227"/>
      <c r="SRM70" s="228"/>
      <c r="SRN70" s="228"/>
      <c r="SRO70" s="228"/>
      <c r="SRP70" s="228"/>
      <c r="SRQ70" s="228"/>
      <c r="SRR70" s="228"/>
      <c r="SRS70" s="226"/>
      <c r="SRT70" s="226"/>
      <c r="SRU70" s="224"/>
      <c r="SRV70" s="225"/>
      <c r="SRW70" s="226"/>
      <c r="SRX70" s="227"/>
      <c r="SRY70" s="228"/>
      <c r="SRZ70" s="228"/>
      <c r="SSA70" s="228"/>
      <c r="SSB70" s="228"/>
      <c r="SSC70" s="228"/>
      <c r="SSD70" s="228"/>
      <c r="SSE70" s="226"/>
      <c r="SSF70" s="226"/>
      <c r="SSG70" s="224"/>
      <c r="SSH70" s="225"/>
      <c r="SSI70" s="226"/>
      <c r="SSJ70" s="227"/>
      <c r="SSK70" s="228"/>
      <c r="SSL70" s="228"/>
      <c r="SSM70" s="228"/>
      <c r="SSN70" s="228"/>
      <c r="SSO70" s="228"/>
      <c r="SSP70" s="228"/>
      <c r="SSQ70" s="226"/>
      <c r="SSR70" s="226"/>
      <c r="SSS70" s="224"/>
      <c r="SST70" s="225"/>
      <c r="SSU70" s="226"/>
      <c r="SSV70" s="227"/>
      <c r="SSW70" s="228"/>
      <c r="SSX70" s="228"/>
      <c r="SSY70" s="228"/>
      <c r="SSZ70" s="228"/>
      <c r="STA70" s="228"/>
      <c r="STB70" s="228"/>
      <c r="STC70" s="226"/>
      <c r="STD70" s="226"/>
      <c r="STE70" s="224"/>
      <c r="STF70" s="225"/>
      <c r="STG70" s="226"/>
      <c r="STH70" s="227"/>
      <c r="STI70" s="228"/>
      <c r="STJ70" s="228"/>
      <c r="STK70" s="228"/>
      <c r="STL70" s="228"/>
      <c r="STM70" s="228"/>
      <c r="STN70" s="228"/>
      <c r="STO70" s="226"/>
      <c r="STP70" s="226"/>
      <c r="STQ70" s="224"/>
      <c r="STR70" s="225"/>
      <c r="STS70" s="226"/>
      <c r="STT70" s="227"/>
      <c r="STU70" s="228"/>
      <c r="STV70" s="228"/>
      <c r="STW70" s="228"/>
      <c r="STX70" s="228"/>
      <c r="STY70" s="228"/>
      <c r="STZ70" s="228"/>
      <c r="SUA70" s="226"/>
      <c r="SUB70" s="226"/>
      <c r="SUC70" s="224"/>
      <c r="SUD70" s="225"/>
      <c r="SUE70" s="226"/>
      <c r="SUF70" s="227"/>
      <c r="SUG70" s="228"/>
      <c r="SUH70" s="228"/>
      <c r="SUI70" s="228"/>
      <c r="SUJ70" s="228"/>
      <c r="SUK70" s="228"/>
      <c r="SUL70" s="228"/>
      <c r="SUM70" s="226"/>
      <c r="SUN70" s="226"/>
      <c r="SUO70" s="224"/>
      <c r="SUP70" s="225"/>
      <c r="SUQ70" s="226"/>
      <c r="SUR70" s="227"/>
      <c r="SUS70" s="228"/>
      <c r="SUT70" s="228"/>
      <c r="SUU70" s="228"/>
      <c r="SUV70" s="228"/>
      <c r="SUW70" s="228"/>
      <c r="SUX70" s="228"/>
      <c r="SUY70" s="226"/>
      <c r="SUZ70" s="226"/>
      <c r="SVA70" s="224"/>
      <c r="SVB70" s="225"/>
      <c r="SVC70" s="226"/>
      <c r="SVD70" s="227"/>
      <c r="SVE70" s="228"/>
      <c r="SVF70" s="228"/>
      <c r="SVG70" s="228"/>
      <c r="SVH70" s="228"/>
      <c r="SVI70" s="228"/>
      <c r="SVJ70" s="228"/>
      <c r="SVK70" s="226"/>
      <c r="SVL70" s="226"/>
      <c r="SVM70" s="224"/>
      <c r="SVN70" s="225"/>
      <c r="SVO70" s="226"/>
      <c r="SVP70" s="227"/>
      <c r="SVQ70" s="228"/>
      <c r="SVR70" s="228"/>
      <c r="SVS70" s="228"/>
      <c r="SVT70" s="228"/>
      <c r="SVU70" s="228"/>
      <c r="SVV70" s="228"/>
      <c r="SVW70" s="226"/>
      <c r="SVX70" s="226"/>
      <c r="SVY70" s="224"/>
      <c r="SVZ70" s="225"/>
      <c r="SWA70" s="226"/>
      <c r="SWB70" s="227"/>
      <c r="SWC70" s="228"/>
      <c r="SWD70" s="228"/>
      <c r="SWE70" s="228"/>
      <c r="SWF70" s="228"/>
      <c r="SWG70" s="228"/>
      <c r="SWH70" s="228"/>
      <c r="SWI70" s="226"/>
      <c r="SWJ70" s="226"/>
      <c r="SWK70" s="224"/>
      <c r="SWL70" s="225"/>
      <c r="SWM70" s="226"/>
      <c r="SWN70" s="227"/>
      <c r="SWO70" s="228"/>
      <c r="SWP70" s="228"/>
      <c r="SWQ70" s="228"/>
      <c r="SWR70" s="228"/>
      <c r="SWS70" s="228"/>
      <c r="SWT70" s="228"/>
      <c r="SWU70" s="226"/>
      <c r="SWV70" s="226"/>
      <c r="SWW70" s="224"/>
      <c r="SWX70" s="225"/>
      <c r="SWY70" s="226"/>
      <c r="SWZ70" s="227"/>
      <c r="SXA70" s="228"/>
      <c r="SXB70" s="228"/>
      <c r="SXC70" s="228"/>
      <c r="SXD70" s="228"/>
      <c r="SXE70" s="228"/>
      <c r="SXF70" s="228"/>
      <c r="SXG70" s="226"/>
      <c r="SXH70" s="226"/>
      <c r="SXI70" s="224"/>
      <c r="SXJ70" s="225"/>
      <c r="SXK70" s="226"/>
      <c r="SXL70" s="227"/>
      <c r="SXM70" s="228"/>
      <c r="SXN70" s="228"/>
      <c r="SXO70" s="228"/>
      <c r="SXP70" s="228"/>
      <c r="SXQ70" s="228"/>
      <c r="SXR70" s="228"/>
      <c r="SXS70" s="226"/>
      <c r="SXT70" s="226"/>
      <c r="SXU70" s="224"/>
      <c r="SXV70" s="225"/>
      <c r="SXW70" s="226"/>
      <c r="SXX70" s="227"/>
      <c r="SXY70" s="228"/>
      <c r="SXZ70" s="228"/>
      <c r="SYA70" s="228"/>
      <c r="SYB70" s="228"/>
      <c r="SYC70" s="228"/>
      <c r="SYD70" s="228"/>
      <c r="SYE70" s="226"/>
      <c r="SYF70" s="226"/>
      <c r="SYG70" s="224"/>
      <c r="SYH70" s="225"/>
      <c r="SYI70" s="226"/>
      <c r="SYJ70" s="227"/>
      <c r="SYK70" s="228"/>
      <c r="SYL70" s="228"/>
      <c r="SYM70" s="228"/>
      <c r="SYN70" s="228"/>
      <c r="SYO70" s="228"/>
      <c r="SYP70" s="228"/>
      <c r="SYQ70" s="226"/>
      <c r="SYR70" s="226"/>
      <c r="SYS70" s="224"/>
      <c r="SYT70" s="225"/>
      <c r="SYU70" s="226"/>
      <c r="SYV70" s="227"/>
      <c r="SYW70" s="228"/>
      <c r="SYX70" s="228"/>
      <c r="SYY70" s="228"/>
      <c r="SYZ70" s="228"/>
      <c r="SZA70" s="228"/>
      <c r="SZB70" s="228"/>
      <c r="SZC70" s="226"/>
      <c r="SZD70" s="226"/>
      <c r="SZE70" s="224"/>
      <c r="SZF70" s="225"/>
      <c r="SZG70" s="226"/>
      <c r="SZH70" s="227"/>
      <c r="SZI70" s="228"/>
      <c r="SZJ70" s="228"/>
      <c r="SZK70" s="228"/>
      <c r="SZL70" s="228"/>
      <c r="SZM70" s="228"/>
      <c r="SZN70" s="228"/>
      <c r="SZO70" s="226"/>
      <c r="SZP70" s="226"/>
      <c r="SZQ70" s="224"/>
      <c r="SZR70" s="225"/>
      <c r="SZS70" s="226"/>
      <c r="SZT70" s="227"/>
      <c r="SZU70" s="228"/>
      <c r="SZV70" s="228"/>
      <c r="SZW70" s="228"/>
      <c r="SZX70" s="228"/>
      <c r="SZY70" s="228"/>
      <c r="SZZ70" s="228"/>
      <c r="TAA70" s="226"/>
      <c r="TAB70" s="226"/>
      <c r="TAC70" s="224"/>
      <c r="TAD70" s="225"/>
      <c r="TAE70" s="226"/>
      <c r="TAF70" s="227"/>
      <c r="TAG70" s="228"/>
      <c r="TAH70" s="228"/>
      <c r="TAI70" s="228"/>
      <c r="TAJ70" s="228"/>
      <c r="TAK70" s="228"/>
      <c r="TAL70" s="228"/>
      <c r="TAM70" s="226"/>
      <c r="TAN70" s="226"/>
      <c r="TAO70" s="224"/>
      <c r="TAP70" s="225"/>
      <c r="TAQ70" s="226"/>
      <c r="TAR70" s="227"/>
      <c r="TAS70" s="228"/>
      <c r="TAT70" s="228"/>
      <c r="TAU70" s="228"/>
      <c r="TAV70" s="228"/>
      <c r="TAW70" s="228"/>
      <c r="TAX70" s="228"/>
      <c r="TAY70" s="226"/>
      <c r="TAZ70" s="226"/>
      <c r="TBA70" s="224"/>
      <c r="TBB70" s="225"/>
      <c r="TBC70" s="226"/>
      <c r="TBD70" s="227"/>
      <c r="TBE70" s="228"/>
      <c r="TBF70" s="228"/>
      <c r="TBG70" s="228"/>
      <c r="TBH70" s="228"/>
      <c r="TBI70" s="228"/>
      <c r="TBJ70" s="228"/>
      <c r="TBK70" s="226"/>
      <c r="TBL70" s="226"/>
      <c r="TBM70" s="224"/>
      <c r="TBN70" s="225"/>
      <c r="TBO70" s="226"/>
      <c r="TBP70" s="227"/>
      <c r="TBQ70" s="228"/>
      <c r="TBR70" s="228"/>
      <c r="TBS70" s="228"/>
      <c r="TBT70" s="228"/>
      <c r="TBU70" s="228"/>
      <c r="TBV70" s="228"/>
      <c r="TBW70" s="226"/>
      <c r="TBX70" s="226"/>
      <c r="TBY70" s="224"/>
      <c r="TBZ70" s="225"/>
      <c r="TCA70" s="226"/>
      <c r="TCB70" s="227"/>
      <c r="TCC70" s="228"/>
      <c r="TCD70" s="228"/>
      <c r="TCE70" s="228"/>
      <c r="TCF70" s="228"/>
      <c r="TCG70" s="228"/>
      <c r="TCH70" s="228"/>
      <c r="TCI70" s="226"/>
      <c r="TCJ70" s="226"/>
      <c r="TCK70" s="224"/>
      <c r="TCL70" s="225"/>
      <c r="TCM70" s="226"/>
      <c r="TCN70" s="227"/>
      <c r="TCO70" s="228"/>
      <c r="TCP70" s="228"/>
      <c r="TCQ70" s="228"/>
      <c r="TCR70" s="228"/>
      <c r="TCS70" s="228"/>
      <c r="TCT70" s="228"/>
      <c r="TCU70" s="226"/>
      <c r="TCV70" s="226"/>
      <c r="TCW70" s="224"/>
      <c r="TCX70" s="225"/>
      <c r="TCY70" s="226"/>
      <c r="TCZ70" s="227"/>
      <c r="TDA70" s="228"/>
      <c r="TDB70" s="228"/>
      <c r="TDC70" s="228"/>
      <c r="TDD70" s="228"/>
      <c r="TDE70" s="228"/>
      <c r="TDF70" s="228"/>
      <c r="TDG70" s="226"/>
      <c r="TDH70" s="226"/>
      <c r="TDI70" s="224"/>
      <c r="TDJ70" s="225"/>
      <c r="TDK70" s="226"/>
      <c r="TDL70" s="227"/>
      <c r="TDM70" s="228"/>
      <c r="TDN70" s="228"/>
      <c r="TDO70" s="228"/>
      <c r="TDP70" s="228"/>
      <c r="TDQ70" s="228"/>
      <c r="TDR70" s="228"/>
      <c r="TDS70" s="226"/>
      <c r="TDT70" s="226"/>
      <c r="TDU70" s="224"/>
      <c r="TDV70" s="225"/>
      <c r="TDW70" s="226"/>
      <c r="TDX70" s="227"/>
      <c r="TDY70" s="228"/>
      <c r="TDZ70" s="228"/>
      <c r="TEA70" s="228"/>
      <c r="TEB70" s="228"/>
      <c r="TEC70" s="228"/>
      <c r="TED70" s="228"/>
      <c r="TEE70" s="226"/>
      <c r="TEF70" s="226"/>
      <c r="TEG70" s="224"/>
      <c r="TEH70" s="225"/>
      <c r="TEI70" s="226"/>
      <c r="TEJ70" s="227"/>
      <c r="TEK70" s="228"/>
      <c r="TEL70" s="228"/>
      <c r="TEM70" s="228"/>
      <c r="TEN70" s="228"/>
      <c r="TEO70" s="228"/>
      <c r="TEP70" s="228"/>
      <c r="TEQ70" s="226"/>
      <c r="TER70" s="226"/>
      <c r="TES70" s="224"/>
      <c r="TET70" s="225"/>
      <c r="TEU70" s="226"/>
      <c r="TEV70" s="227"/>
      <c r="TEW70" s="228"/>
      <c r="TEX70" s="228"/>
      <c r="TEY70" s="228"/>
      <c r="TEZ70" s="228"/>
      <c r="TFA70" s="228"/>
      <c r="TFB70" s="228"/>
      <c r="TFC70" s="226"/>
      <c r="TFD70" s="226"/>
      <c r="TFE70" s="224"/>
      <c r="TFF70" s="225"/>
      <c r="TFG70" s="226"/>
      <c r="TFH70" s="227"/>
      <c r="TFI70" s="228"/>
      <c r="TFJ70" s="228"/>
      <c r="TFK70" s="228"/>
      <c r="TFL70" s="228"/>
      <c r="TFM70" s="228"/>
      <c r="TFN70" s="228"/>
      <c r="TFO70" s="226"/>
      <c r="TFP70" s="226"/>
      <c r="TFQ70" s="224"/>
      <c r="TFR70" s="225"/>
      <c r="TFS70" s="226"/>
      <c r="TFT70" s="227"/>
      <c r="TFU70" s="228"/>
      <c r="TFV70" s="228"/>
      <c r="TFW70" s="228"/>
      <c r="TFX70" s="228"/>
      <c r="TFY70" s="228"/>
      <c r="TFZ70" s="228"/>
      <c r="TGA70" s="226"/>
      <c r="TGB70" s="226"/>
      <c r="TGC70" s="224"/>
      <c r="TGD70" s="225"/>
      <c r="TGE70" s="226"/>
      <c r="TGF70" s="227"/>
      <c r="TGG70" s="228"/>
      <c r="TGH70" s="228"/>
      <c r="TGI70" s="228"/>
      <c r="TGJ70" s="228"/>
      <c r="TGK70" s="228"/>
      <c r="TGL70" s="228"/>
      <c r="TGM70" s="226"/>
      <c r="TGN70" s="226"/>
      <c r="TGO70" s="224"/>
      <c r="TGP70" s="225"/>
      <c r="TGQ70" s="226"/>
      <c r="TGR70" s="227"/>
      <c r="TGS70" s="228"/>
      <c r="TGT70" s="228"/>
      <c r="TGU70" s="228"/>
      <c r="TGV70" s="228"/>
      <c r="TGW70" s="228"/>
      <c r="TGX70" s="228"/>
      <c r="TGY70" s="226"/>
      <c r="TGZ70" s="226"/>
      <c r="THA70" s="224"/>
      <c r="THB70" s="225"/>
      <c r="THC70" s="226"/>
      <c r="THD70" s="227"/>
      <c r="THE70" s="228"/>
      <c r="THF70" s="228"/>
      <c r="THG70" s="228"/>
      <c r="THH70" s="228"/>
      <c r="THI70" s="228"/>
      <c r="THJ70" s="228"/>
      <c r="THK70" s="226"/>
      <c r="THL70" s="226"/>
      <c r="THM70" s="224"/>
      <c r="THN70" s="225"/>
      <c r="THO70" s="226"/>
      <c r="THP70" s="227"/>
      <c r="THQ70" s="228"/>
      <c r="THR70" s="228"/>
      <c r="THS70" s="228"/>
      <c r="THT70" s="228"/>
      <c r="THU70" s="228"/>
      <c r="THV70" s="228"/>
      <c r="THW70" s="226"/>
      <c r="THX70" s="226"/>
      <c r="THY70" s="224"/>
      <c r="THZ70" s="225"/>
      <c r="TIA70" s="226"/>
      <c r="TIB70" s="227"/>
      <c r="TIC70" s="228"/>
      <c r="TID70" s="228"/>
      <c r="TIE70" s="228"/>
      <c r="TIF70" s="228"/>
      <c r="TIG70" s="228"/>
      <c r="TIH70" s="228"/>
      <c r="TII70" s="226"/>
      <c r="TIJ70" s="226"/>
      <c r="TIK70" s="224"/>
      <c r="TIL70" s="225"/>
      <c r="TIM70" s="226"/>
      <c r="TIN70" s="227"/>
      <c r="TIO70" s="228"/>
      <c r="TIP70" s="228"/>
      <c r="TIQ70" s="228"/>
      <c r="TIR70" s="228"/>
      <c r="TIS70" s="228"/>
      <c r="TIT70" s="228"/>
      <c r="TIU70" s="226"/>
      <c r="TIV70" s="226"/>
      <c r="TIW70" s="224"/>
      <c r="TIX70" s="225"/>
      <c r="TIY70" s="226"/>
      <c r="TIZ70" s="227"/>
      <c r="TJA70" s="228"/>
      <c r="TJB70" s="228"/>
      <c r="TJC70" s="228"/>
      <c r="TJD70" s="228"/>
      <c r="TJE70" s="228"/>
      <c r="TJF70" s="228"/>
      <c r="TJG70" s="226"/>
      <c r="TJH70" s="226"/>
      <c r="TJI70" s="224"/>
      <c r="TJJ70" s="225"/>
      <c r="TJK70" s="226"/>
      <c r="TJL70" s="227"/>
      <c r="TJM70" s="228"/>
      <c r="TJN70" s="228"/>
      <c r="TJO70" s="228"/>
      <c r="TJP70" s="228"/>
      <c r="TJQ70" s="228"/>
      <c r="TJR70" s="228"/>
      <c r="TJS70" s="226"/>
      <c r="TJT70" s="226"/>
      <c r="TJU70" s="224"/>
      <c r="TJV70" s="225"/>
      <c r="TJW70" s="226"/>
      <c r="TJX70" s="227"/>
      <c r="TJY70" s="228"/>
      <c r="TJZ70" s="228"/>
      <c r="TKA70" s="228"/>
      <c r="TKB70" s="228"/>
      <c r="TKC70" s="228"/>
      <c r="TKD70" s="228"/>
      <c r="TKE70" s="226"/>
      <c r="TKF70" s="226"/>
      <c r="TKG70" s="224"/>
      <c r="TKH70" s="225"/>
      <c r="TKI70" s="226"/>
      <c r="TKJ70" s="227"/>
      <c r="TKK70" s="228"/>
      <c r="TKL70" s="228"/>
      <c r="TKM70" s="228"/>
      <c r="TKN70" s="228"/>
      <c r="TKO70" s="228"/>
      <c r="TKP70" s="228"/>
      <c r="TKQ70" s="226"/>
      <c r="TKR70" s="226"/>
      <c r="TKS70" s="224"/>
      <c r="TKT70" s="225"/>
      <c r="TKU70" s="226"/>
      <c r="TKV70" s="227"/>
      <c r="TKW70" s="228"/>
      <c r="TKX70" s="228"/>
      <c r="TKY70" s="228"/>
      <c r="TKZ70" s="228"/>
      <c r="TLA70" s="228"/>
      <c r="TLB70" s="228"/>
      <c r="TLC70" s="226"/>
      <c r="TLD70" s="226"/>
      <c r="TLE70" s="224"/>
      <c r="TLF70" s="225"/>
      <c r="TLG70" s="226"/>
      <c r="TLH70" s="227"/>
      <c r="TLI70" s="228"/>
      <c r="TLJ70" s="228"/>
      <c r="TLK70" s="228"/>
      <c r="TLL70" s="228"/>
      <c r="TLM70" s="228"/>
      <c r="TLN70" s="228"/>
      <c r="TLO70" s="226"/>
      <c r="TLP70" s="226"/>
      <c r="TLQ70" s="224"/>
      <c r="TLR70" s="225"/>
      <c r="TLS70" s="226"/>
      <c r="TLT70" s="227"/>
      <c r="TLU70" s="228"/>
      <c r="TLV70" s="228"/>
      <c r="TLW70" s="228"/>
      <c r="TLX70" s="228"/>
      <c r="TLY70" s="228"/>
      <c r="TLZ70" s="228"/>
      <c r="TMA70" s="226"/>
      <c r="TMB70" s="226"/>
      <c r="TMC70" s="224"/>
      <c r="TMD70" s="225"/>
      <c r="TME70" s="226"/>
      <c r="TMF70" s="227"/>
      <c r="TMG70" s="228"/>
      <c r="TMH70" s="228"/>
      <c r="TMI70" s="228"/>
      <c r="TMJ70" s="228"/>
      <c r="TMK70" s="228"/>
      <c r="TML70" s="228"/>
      <c r="TMM70" s="226"/>
      <c r="TMN70" s="226"/>
      <c r="TMO70" s="224"/>
      <c r="TMP70" s="225"/>
      <c r="TMQ70" s="226"/>
      <c r="TMR70" s="227"/>
      <c r="TMS70" s="228"/>
      <c r="TMT70" s="228"/>
      <c r="TMU70" s="228"/>
      <c r="TMV70" s="228"/>
      <c r="TMW70" s="228"/>
      <c r="TMX70" s="228"/>
      <c r="TMY70" s="226"/>
      <c r="TMZ70" s="226"/>
      <c r="TNA70" s="224"/>
      <c r="TNB70" s="225"/>
      <c r="TNC70" s="226"/>
      <c r="TND70" s="227"/>
      <c r="TNE70" s="228"/>
      <c r="TNF70" s="228"/>
      <c r="TNG70" s="228"/>
      <c r="TNH70" s="228"/>
      <c r="TNI70" s="228"/>
      <c r="TNJ70" s="228"/>
      <c r="TNK70" s="226"/>
      <c r="TNL70" s="226"/>
      <c r="TNM70" s="224"/>
      <c r="TNN70" s="225"/>
      <c r="TNO70" s="226"/>
      <c r="TNP70" s="227"/>
      <c r="TNQ70" s="228"/>
      <c r="TNR70" s="228"/>
      <c r="TNS70" s="228"/>
      <c r="TNT70" s="228"/>
      <c r="TNU70" s="228"/>
      <c r="TNV70" s="228"/>
      <c r="TNW70" s="226"/>
      <c r="TNX70" s="226"/>
      <c r="TNY70" s="224"/>
      <c r="TNZ70" s="225"/>
      <c r="TOA70" s="226"/>
      <c r="TOB70" s="227"/>
      <c r="TOC70" s="228"/>
      <c r="TOD70" s="228"/>
      <c r="TOE70" s="228"/>
      <c r="TOF70" s="228"/>
      <c r="TOG70" s="228"/>
      <c r="TOH70" s="228"/>
      <c r="TOI70" s="226"/>
      <c r="TOJ70" s="226"/>
      <c r="TOK70" s="224"/>
      <c r="TOL70" s="225"/>
      <c r="TOM70" s="226"/>
      <c r="TON70" s="227"/>
      <c r="TOO70" s="228"/>
      <c r="TOP70" s="228"/>
      <c r="TOQ70" s="228"/>
      <c r="TOR70" s="228"/>
      <c r="TOS70" s="228"/>
      <c r="TOT70" s="228"/>
      <c r="TOU70" s="226"/>
      <c r="TOV70" s="226"/>
      <c r="TOW70" s="224"/>
      <c r="TOX70" s="225"/>
      <c r="TOY70" s="226"/>
      <c r="TOZ70" s="227"/>
      <c r="TPA70" s="228"/>
      <c r="TPB70" s="228"/>
      <c r="TPC70" s="228"/>
      <c r="TPD70" s="228"/>
      <c r="TPE70" s="228"/>
      <c r="TPF70" s="228"/>
      <c r="TPG70" s="226"/>
      <c r="TPH70" s="226"/>
      <c r="TPI70" s="224"/>
      <c r="TPJ70" s="225"/>
      <c r="TPK70" s="226"/>
      <c r="TPL70" s="227"/>
      <c r="TPM70" s="228"/>
      <c r="TPN70" s="228"/>
      <c r="TPO70" s="228"/>
      <c r="TPP70" s="228"/>
      <c r="TPQ70" s="228"/>
      <c r="TPR70" s="228"/>
      <c r="TPS70" s="226"/>
      <c r="TPT70" s="226"/>
      <c r="TPU70" s="224"/>
      <c r="TPV70" s="225"/>
      <c r="TPW70" s="226"/>
      <c r="TPX70" s="227"/>
      <c r="TPY70" s="228"/>
      <c r="TPZ70" s="228"/>
      <c r="TQA70" s="228"/>
      <c r="TQB70" s="228"/>
      <c r="TQC70" s="228"/>
      <c r="TQD70" s="228"/>
      <c r="TQE70" s="226"/>
      <c r="TQF70" s="226"/>
      <c r="TQG70" s="224"/>
      <c r="TQH70" s="225"/>
      <c r="TQI70" s="226"/>
      <c r="TQJ70" s="227"/>
      <c r="TQK70" s="228"/>
      <c r="TQL70" s="228"/>
      <c r="TQM70" s="228"/>
      <c r="TQN70" s="228"/>
      <c r="TQO70" s="228"/>
      <c r="TQP70" s="228"/>
      <c r="TQQ70" s="226"/>
      <c r="TQR70" s="226"/>
      <c r="TQS70" s="224"/>
      <c r="TQT70" s="225"/>
      <c r="TQU70" s="226"/>
      <c r="TQV70" s="227"/>
      <c r="TQW70" s="228"/>
      <c r="TQX70" s="228"/>
      <c r="TQY70" s="228"/>
      <c r="TQZ70" s="228"/>
      <c r="TRA70" s="228"/>
      <c r="TRB70" s="228"/>
      <c r="TRC70" s="226"/>
      <c r="TRD70" s="226"/>
      <c r="TRE70" s="224"/>
      <c r="TRF70" s="225"/>
      <c r="TRG70" s="226"/>
      <c r="TRH70" s="227"/>
      <c r="TRI70" s="228"/>
      <c r="TRJ70" s="228"/>
      <c r="TRK70" s="228"/>
      <c r="TRL70" s="228"/>
      <c r="TRM70" s="228"/>
      <c r="TRN70" s="228"/>
      <c r="TRO70" s="226"/>
      <c r="TRP70" s="226"/>
      <c r="TRQ70" s="224"/>
      <c r="TRR70" s="225"/>
      <c r="TRS70" s="226"/>
      <c r="TRT70" s="227"/>
      <c r="TRU70" s="228"/>
      <c r="TRV70" s="228"/>
      <c r="TRW70" s="228"/>
      <c r="TRX70" s="228"/>
      <c r="TRY70" s="228"/>
      <c r="TRZ70" s="228"/>
      <c r="TSA70" s="226"/>
      <c r="TSB70" s="226"/>
      <c r="TSC70" s="224"/>
      <c r="TSD70" s="225"/>
      <c r="TSE70" s="226"/>
      <c r="TSF70" s="227"/>
      <c r="TSG70" s="228"/>
      <c r="TSH70" s="228"/>
      <c r="TSI70" s="228"/>
      <c r="TSJ70" s="228"/>
      <c r="TSK70" s="228"/>
      <c r="TSL70" s="228"/>
      <c r="TSM70" s="226"/>
      <c r="TSN70" s="226"/>
      <c r="TSO70" s="224"/>
      <c r="TSP70" s="225"/>
      <c r="TSQ70" s="226"/>
      <c r="TSR70" s="227"/>
      <c r="TSS70" s="228"/>
      <c r="TST70" s="228"/>
      <c r="TSU70" s="228"/>
      <c r="TSV70" s="228"/>
      <c r="TSW70" s="228"/>
      <c r="TSX70" s="228"/>
      <c r="TSY70" s="226"/>
      <c r="TSZ70" s="226"/>
      <c r="TTA70" s="224"/>
      <c r="TTB70" s="225"/>
      <c r="TTC70" s="226"/>
      <c r="TTD70" s="227"/>
      <c r="TTE70" s="228"/>
      <c r="TTF70" s="228"/>
      <c r="TTG70" s="228"/>
      <c r="TTH70" s="228"/>
      <c r="TTI70" s="228"/>
      <c r="TTJ70" s="228"/>
      <c r="TTK70" s="226"/>
      <c r="TTL70" s="226"/>
      <c r="TTM70" s="224"/>
      <c r="TTN70" s="225"/>
      <c r="TTO70" s="226"/>
      <c r="TTP70" s="227"/>
      <c r="TTQ70" s="228"/>
      <c r="TTR70" s="228"/>
      <c r="TTS70" s="228"/>
      <c r="TTT70" s="228"/>
      <c r="TTU70" s="228"/>
      <c r="TTV70" s="228"/>
      <c r="TTW70" s="226"/>
      <c r="TTX70" s="226"/>
      <c r="TTY70" s="224"/>
      <c r="TTZ70" s="225"/>
      <c r="TUA70" s="226"/>
      <c r="TUB70" s="227"/>
      <c r="TUC70" s="228"/>
      <c r="TUD70" s="228"/>
      <c r="TUE70" s="228"/>
      <c r="TUF70" s="228"/>
      <c r="TUG70" s="228"/>
      <c r="TUH70" s="228"/>
      <c r="TUI70" s="226"/>
      <c r="TUJ70" s="226"/>
      <c r="TUK70" s="224"/>
      <c r="TUL70" s="225"/>
      <c r="TUM70" s="226"/>
      <c r="TUN70" s="227"/>
      <c r="TUO70" s="228"/>
      <c r="TUP70" s="228"/>
      <c r="TUQ70" s="228"/>
      <c r="TUR70" s="228"/>
      <c r="TUS70" s="228"/>
      <c r="TUT70" s="228"/>
      <c r="TUU70" s="226"/>
      <c r="TUV70" s="226"/>
      <c r="TUW70" s="224"/>
      <c r="TUX70" s="225"/>
      <c r="TUY70" s="226"/>
      <c r="TUZ70" s="227"/>
      <c r="TVA70" s="228"/>
      <c r="TVB70" s="228"/>
      <c r="TVC70" s="228"/>
      <c r="TVD70" s="228"/>
      <c r="TVE70" s="228"/>
      <c r="TVF70" s="228"/>
      <c r="TVG70" s="226"/>
      <c r="TVH70" s="226"/>
      <c r="TVI70" s="224"/>
      <c r="TVJ70" s="225"/>
      <c r="TVK70" s="226"/>
      <c r="TVL70" s="227"/>
      <c r="TVM70" s="228"/>
      <c r="TVN70" s="228"/>
      <c r="TVO70" s="228"/>
      <c r="TVP70" s="228"/>
      <c r="TVQ70" s="228"/>
      <c r="TVR70" s="228"/>
      <c r="TVS70" s="226"/>
      <c r="TVT70" s="226"/>
      <c r="TVU70" s="224"/>
      <c r="TVV70" s="225"/>
      <c r="TVW70" s="226"/>
      <c r="TVX70" s="227"/>
      <c r="TVY70" s="228"/>
      <c r="TVZ70" s="228"/>
      <c r="TWA70" s="228"/>
      <c r="TWB70" s="228"/>
      <c r="TWC70" s="228"/>
      <c r="TWD70" s="228"/>
      <c r="TWE70" s="226"/>
      <c r="TWF70" s="226"/>
      <c r="TWG70" s="224"/>
      <c r="TWH70" s="225"/>
      <c r="TWI70" s="226"/>
      <c r="TWJ70" s="227"/>
      <c r="TWK70" s="228"/>
      <c r="TWL70" s="228"/>
      <c r="TWM70" s="228"/>
      <c r="TWN70" s="228"/>
      <c r="TWO70" s="228"/>
      <c r="TWP70" s="228"/>
      <c r="TWQ70" s="226"/>
      <c r="TWR70" s="226"/>
      <c r="TWS70" s="224"/>
      <c r="TWT70" s="225"/>
      <c r="TWU70" s="226"/>
      <c r="TWV70" s="227"/>
      <c r="TWW70" s="228"/>
      <c r="TWX70" s="228"/>
      <c r="TWY70" s="228"/>
      <c r="TWZ70" s="228"/>
      <c r="TXA70" s="228"/>
      <c r="TXB70" s="228"/>
      <c r="TXC70" s="226"/>
      <c r="TXD70" s="226"/>
      <c r="TXE70" s="224"/>
      <c r="TXF70" s="225"/>
      <c r="TXG70" s="226"/>
      <c r="TXH70" s="227"/>
      <c r="TXI70" s="228"/>
      <c r="TXJ70" s="228"/>
      <c r="TXK70" s="228"/>
      <c r="TXL70" s="228"/>
      <c r="TXM70" s="228"/>
      <c r="TXN70" s="228"/>
      <c r="TXO70" s="226"/>
      <c r="TXP70" s="226"/>
      <c r="TXQ70" s="224"/>
      <c r="TXR70" s="225"/>
      <c r="TXS70" s="226"/>
      <c r="TXT70" s="227"/>
      <c r="TXU70" s="228"/>
      <c r="TXV70" s="228"/>
      <c r="TXW70" s="228"/>
      <c r="TXX70" s="228"/>
      <c r="TXY70" s="228"/>
      <c r="TXZ70" s="228"/>
      <c r="TYA70" s="226"/>
      <c r="TYB70" s="226"/>
      <c r="TYC70" s="224"/>
      <c r="TYD70" s="225"/>
      <c r="TYE70" s="226"/>
      <c r="TYF70" s="227"/>
      <c r="TYG70" s="228"/>
      <c r="TYH70" s="228"/>
      <c r="TYI70" s="228"/>
      <c r="TYJ70" s="228"/>
      <c r="TYK70" s="228"/>
      <c r="TYL70" s="228"/>
      <c r="TYM70" s="226"/>
      <c r="TYN70" s="226"/>
      <c r="TYO70" s="224"/>
      <c r="TYP70" s="225"/>
      <c r="TYQ70" s="226"/>
      <c r="TYR70" s="227"/>
      <c r="TYS70" s="228"/>
      <c r="TYT70" s="228"/>
      <c r="TYU70" s="228"/>
      <c r="TYV70" s="228"/>
      <c r="TYW70" s="228"/>
      <c r="TYX70" s="228"/>
      <c r="TYY70" s="226"/>
      <c r="TYZ70" s="226"/>
      <c r="TZA70" s="224"/>
      <c r="TZB70" s="225"/>
      <c r="TZC70" s="226"/>
      <c r="TZD70" s="227"/>
      <c r="TZE70" s="228"/>
      <c r="TZF70" s="228"/>
      <c r="TZG70" s="228"/>
      <c r="TZH70" s="228"/>
      <c r="TZI70" s="228"/>
      <c r="TZJ70" s="228"/>
      <c r="TZK70" s="226"/>
      <c r="TZL70" s="226"/>
      <c r="TZM70" s="224"/>
      <c r="TZN70" s="225"/>
      <c r="TZO70" s="226"/>
      <c r="TZP70" s="227"/>
      <c r="TZQ70" s="228"/>
      <c r="TZR70" s="228"/>
      <c r="TZS70" s="228"/>
      <c r="TZT70" s="228"/>
      <c r="TZU70" s="228"/>
      <c r="TZV70" s="228"/>
      <c r="TZW70" s="226"/>
      <c r="TZX70" s="226"/>
      <c r="TZY70" s="224"/>
      <c r="TZZ70" s="225"/>
      <c r="UAA70" s="226"/>
      <c r="UAB70" s="227"/>
      <c r="UAC70" s="228"/>
      <c r="UAD70" s="228"/>
      <c r="UAE70" s="228"/>
      <c r="UAF70" s="228"/>
      <c r="UAG70" s="228"/>
      <c r="UAH70" s="228"/>
      <c r="UAI70" s="226"/>
      <c r="UAJ70" s="226"/>
      <c r="UAK70" s="224"/>
      <c r="UAL70" s="225"/>
      <c r="UAM70" s="226"/>
      <c r="UAN70" s="227"/>
      <c r="UAO70" s="228"/>
      <c r="UAP70" s="228"/>
      <c r="UAQ70" s="228"/>
      <c r="UAR70" s="228"/>
      <c r="UAS70" s="228"/>
      <c r="UAT70" s="228"/>
      <c r="UAU70" s="226"/>
      <c r="UAV70" s="226"/>
      <c r="UAW70" s="224"/>
      <c r="UAX70" s="225"/>
      <c r="UAY70" s="226"/>
      <c r="UAZ70" s="227"/>
      <c r="UBA70" s="228"/>
      <c r="UBB70" s="228"/>
      <c r="UBC70" s="228"/>
      <c r="UBD70" s="228"/>
      <c r="UBE70" s="228"/>
      <c r="UBF70" s="228"/>
      <c r="UBG70" s="226"/>
      <c r="UBH70" s="226"/>
      <c r="UBI70" s="224"/>
      <c r="UBJ70" s="225"/>
      <c r="UBK70" s="226"/>
      <c r="UBL70" s="227"/>
      <c r="UBM70" s="228"/>
      <c r="UBN70" s="228"/>
      <c r="UBO70" s="228"/>
      <c r="UBP70" s="228"/>
      <c r="UBQ70" s="228"/>
      <c r="UBR70" s="228"/>
      <c r="UBS70" s="226"/>
      <c r="UBT70" s="226"/>
      <c r="UBU70" s="224"/>
      <c r="UBV70" s="225"/>
      <c r="UBW70" s="226"/>
      <c r="UBX70" s="227"/>
      <c r="UBY70" s="228"/>
      <c r="UBZ70" s="228"/>
      <c r="UCA70" s="228"/>
      <c r="UCB70" s="228"/>
      <c r="UCC70" s="228"/>
      <c r="UCD70" s="228"/>
      <c r="UCE70" s="226"/>
      <c r="UCF70" s="226"/>
      <c r="UCG70" s="224"/>
      <c r="UCH70" s="225"/>
      <c r="UCI70" s="226"/>
      <c r="UCJ70" s="227"/>
      <c r="UCK70" s="228"/>
      <c r="UCL70" s="228"/>
      <c r="UCM70" s="228"/>
      <c r="UCN70" s="228"/>
      <c r="UCO70" s="228"/>
      <c r="UCP70" s="228"/>
      <c r="UCQ70" s="226"/>
      <c r="UCR70" s="226"/>
      <c r="UCS70" s="224"/>
      <c r="UCT70" s="225"/>
      <c r="UCU70" s="226"/>
      <c r="UCV70" s="227"/>
      <c r="UCW70" s="228"/>
      <c r="UCX70" s="228"/>
      <c r="UCY70" s="228"/>
      <c r="UCZ70" s="228"/>
      <c r="UDA70" s="228"/>
      <c r="UDB70" s="228"/>
      <c r="UDC70" s="226"/>
      <c r="UDD70" s="226"/>
      <c r="UDE70" s="224"/>
      <c r="UDF70" s="225"/>
      <c r="UDG70" s="226"/>
      <c r="UDH70" s="227"/>
      <c r="UDI70" s="228"/>
      <c r="UDJ70" s="228"/>
      <c r="UDK70" s="228"/>
      <c r="UDL70" s="228"/>
      <c r="UDM70" s="228"/>
      <c r="UDN70" s="228"/>
      <c r="UDO70" s="226"/>
      <c r="UDP70" s="226"/>
      <c r="UDQ70" s="224"/>
      <c r="UDR70" s="225"/>
      <c r="UDS70" s="226"/>
      <c r="UDT70" s="227"/>
      <c r="UDU70" s="228"/>
      <c r="UDV70" s="228"/>
      <c r="UDW70" s="228"/>
      <c r="UDX70" s="228"/>
      <c r="UDY70" s="228"/>
      <c r="UDZ70" s="228"/>
      <c r="UEA70" s="226"/>
      <c r="UEB70" s="226"/>
      <c r="UEC70" s="224"/>
      <c r="UED70" s="225"/>
      <c r="UEE70" s="226"/>
      <c r="UEF70" s="227"/>
      <c r="UEG70" s="228"/>
      <c r="UEH70" s="228"/>
      <c r="UEI70" s="228"/>
      <c r="UEJ70" s="228"/>
      <c r="UEK70" s="228"/>
      <c r="UEL70" s="228"/>
      <c r="UEM70" s="226"/>
      <c r="UEN70" s="226"/>
      <c r="UEO70" s="224"/>
      <c r="UEP70" s="225"/>
      <c r="UEQ70" s="226"/>
      <c r="UER70" s="227"/>
      <c r="UES70" s="228"/>
      <c r="UET70" s="228"/>
      <c r="UEU70" s="228"/>
      <c r="UEV70" s="228"/>
      <c r="UEW70" s="228"/>
      <c r="UEX70" s="228"/>
      <c r="UEY70" s="226"/>
      <c r="UEZ70" s="226"/>
      <c r="UFA70" s="224"/>
      <c r="UFB70" s="225"/>
      <c r="UFC70" s="226"/>
      <c r="UFD70" s="227"/>
      <c r="UFE70" s="228"/>
      <c r="UFF70" s="228"/>
      <c r="UFG70" s="228"/>
      <c r="UFH70" s="228"/>
      <c r="UFI70" s="228"/>
      <c r="UFJ70" s="228"/>
      <c r="UFK70" s="226"/>
      <c r="UFL70" s="226"/>
      <c r="UFM70" s="224"/>
      <c r="UFN70" s="225"/>
      <c r="UFO70" s="226"/>
      <c r="UFP70" s="227"/>
      <c r="UFQ70" s="228"/>
      <c r="UFR70" s="228"/>
      <c r="UFS70" s="228"/>
      <c r="UFT70" s="228"/>
      <c r="UFU70" s="228"/>
      <c r="UFV70" s="228"/>
      <c r="UFW70" s="226"/>
      <c r="UFX70" s="226"/>
      <c r="UFY70" s="224"/>
      <c r="UFZ70" s="225"/>
      <c r="UGA70" s="226"/>
      <c r="UGB70" s="227"/>
      <c r="UGC70" s="228"/>
      <c r="UGD70" s="228"/>
      <c r="UGE70" s="228"/>
      <c r="UGF70" s="228"/>
      <c r="UGG70" s="228"/>
      <c r="UGH70" s="228"/>
      <c r="UGI70" s="226"/>
      <c r="UGJ70" s="226"/>
      <c r="UGK70" s="224"/>
      <c r="UGL70" s="225"/>
      <c r="UGM70" s="226"/>
      <c r="UGN70" s="227"/>
      <c r="UGO70" s="228"/>
      <c r="UGP70" s="228"/>
      <c r="UGQ70" s="228"/>
      <c r="UGR70" s="228"/>
      <c r="UGS70" s="228"/>
      <c r="UGT70" s="228"/>
      <c r="UGU70" s="226"/>
      <c r="UGV70" s="226"/>
      <c r="UGW70" s="224"/>
      <c r="UGX70" s="225"/>
      <c r="UGY70" s="226"/>
      <c r="UGZ70" s="227"/>
      <c r="UHA70" s="228"/>
      <c r="UHB70" s="228"/>
      <c r="UHC70" s="228"/>
      <c r="UHD70" s="228"/>
      <c r="UHE70" s="228"/>
      <c r="UHF70" s="228"/>
      <c r="UHG70" s="226"/>
      <c r="UHH70" s="226"/>
      <c r="UHI70" s="224"/>
      <c r="UHJ70" s="225"/>
      <c r="UHK70" s="226"/>
      <c r="UHL70" s="227"/>
      <c r="UHM70" s="228"/>
      <c r="UHN70" s="228"/>
      <c r="UHO70" s="228"/>
      <c r="UHP70" s="228"/>
      <c r="UHQ70" s="228"/>
      <c r="UHR70" s="228"/>
      <c r="UHS70" s="226"/>
      <c r="UHT70" s="226"/>
      <c r="UHU70" s="224"/>
      <c r="UHV70" s="225"/>
      <c r="UHW70" s="226"/>
      <c r="UHX70" s="227"/>
      <c r="UHY70" s="228"/>
      <c r="UHZ70" s="228"/>
      <c r="UIA70" s="228"/>
      <c r="UIB70" s="228"/>
      <c r="UIC70" s="228"/>
      <c r="UID70" s="228"/>
      <c r="UIE70" s="226"/>
      <c r="UIF70" s="226"/>
      <c r="UIG70" s="224"/>
      <c r="UIH70" s="225"/>
      <c r="UII70" s="226"/>
      <c r="UIJ70" s="227"/>
      <c r="UIK70" s="228"/>
      <c r="UIL70" s="228"/>
      <c r="UIM70" s="228"/>
      <c r="UIN70" s="228"/>
      <c r="UIO70" s="228"/>
      <c r="UIP70" s="228"/>
      <c r="UIQ70" s="226"/>
      <c r="UIR70" s="226"/>
      <c r="UIS70" s="224"/>
      <c r="UIT70" s="225"/>
      <c r="UIU70" s="226"/>
      <c r="UIV70" s="227"/>
      <c r="UIW70" s="228"/>
      <c r="UIX70" s="228"/>
      <c r="UIY70" s="228"/>
      <c r="UIZ70" s="228"/>
      <c r="UJA70" s="228"/>
      <c r="UJB70" s="228"/>
      <c r="UJC70" s="226"/>
      <c r="UJD70" s="226"/>
      <c r="UJE70" s="224"/>
      <c r="UJF70" s="225"/>
      <c r="UJG70" s="226"/>
      <c r="UJH70" s="227"/>
      <c r="UJI70" s="228"/>
      <c r="UJJ70" s="228"/>
      <c r="UJK70" s="228"/>
      <c r="UJL70" s="228"/>
      <c r="UJM70" s="228"/>
      <c r="UJN70" s="228"/>
      <c r="UJO70" s="226"/>
      <c r="UJP70" s="226"/>
      <c r="UJQ70" s="224"/>
      <c r="UJR70" s="225"/>
      <c r="UJS70" s="226"/>
      <c r="UJT70" s="227"/>
      <c r="UJU70" s="228"/>
      <c r="UJV70" s="228"/>
      <c r="UJW70" s="228"/>
      <c r="UJX70" s="228"/>
      <c r="UJY70" s="228"/>
      <c r="UJZ70" s="228"/>
      <c r="UKA70" s="226"/>
      <c r="UKB70" s="226"/>
      <c r="UKC70" s="224"/>
      <c r="UKD70" s="225"/>
      <c r="UKE70" s="226"/>
      <c r="UKF70" s="227"/>
      <c r="UKG70" s="228"/>
      <c r="UKH70" s="228"/>
      <c r="UKI70" s="228"/>
      <c r="UKJ70" s="228"/>
      <c r="UKK70" s="228"/>
      <c r="UKL70" s="228"/>
      <c r="UKM70" s="226"/>
      <c r="UKN70" s="226"/>
      <c r="UKO70" s="224"/>
      <c r="UKP70" s="225"/>
      <c r="UKQ70" s="226"/>
      <c r="UKR70" s="227"/>
      <c r="UKS70" s="228"/>
      <c r="UKT70" s="228"/>
      <c r="UKU70" s="228"/>
      <c r="UKV70" s="228"/>
      <c r="UKW70" s="228"/>
      <c r="UKX70" s="228"/>
      <c r="UKY70" s="226"/>
      <c r="UKZ70" s="226"/>
      <c r="ULA70" s="224"/>
      <c r="ULB70" s="225"/>
      <c r="ULC70" s="226"/>
      <c r="ULD70" s="227"/>
      <c r="ULE70" s="228"/>
      <c r="ULF70" s="228"/>
      <c r="ULG70" s="228"/>
      <c r="ULH70" s="228"/>
      <c r="ULI70" s="228"/>
      <c r="ULJ70" s="228"/>
      <c r="ULK70" s="226"/>
      <c r="ULL70" s="226"/>
      <c r="ULM70" s="224"/>
      <c r="ULN70" s="225"/>
      <c r="ULO70" s="226"/>
      <c r="ULP70" s="227"/>
      <c r="ULQ70" s="228"/>
      <c r="ULR70" s="228"/>
      <c r="ULS70" s="228"/>
      <c r="ULT70" s="228"/>
      <c r="ULU70" s="228"/>
      <c r="ULV70" s="228"/>
      <c r="ULW70" s="226"/>
      <c r="ULX70" s="226"/>
      <c r="ULY70" s="224"/>
      <c r="ULZ70" s="225"/>
      <c r="UMA70" s="226"/>
      <c r="UMB70" s="227"/>
      <c r="UMC70" s="228"/>
      <c r="UMD70" s="228"/>
      <c r="UME70" s="228"/>
      <c r="UMF70" s="228"/>
      <c r="UMG70" s="228"/>
      <c r="UMH70" s="228"/>
      <c r="UMI70" s="226"/>
      <c r="UMJ70" s="226"/>
      <c r="UMK70" s="224"/>
      <c r="UML70" s="225"/>
      <c r="UMM70" s="226"/>
      <c r="UMN70" s="227"/>
      <c r="UMO70" s="228"/>
      <c r="UMP70" s="228"/>
      <c r="UMQ70" s="228"/>
      <c r="UMR70" s="228"/>
      <c r="UMS70" s="228"/>
      <c r="UMT70" s="228"/>
      <c r="UMU70" s="226"/>
      <c r="UMV70" s="226"/>
      <c r="UMW70" s="224"/>
      <c r="UMX70" s="225"/>
      <c r="UMY70" s="226"/>
      <c r="UMZ70" s="227"/>
      <c r="UNA70" s="228"/>
      <c r="UNB70" s="228"/>
      <c r="UNC70" s="228"/>
      <c r="UND70" s="228"/>
      <c r="UNE70" s="228"/>
      <c r="UNF70" s="228"/>
      <c r="UNG70" s="226"/>
      <c r="UNH70" s="226"/>
      <c r="UNI70" s="224"/>
      <c r="UNJ70" s="225"/>
      <c r="UNK70" s="226"/>
      <c r="UNL70" s="227"/>
      <c r="UNM70" s="228"/>
      <c r="UNN70" s="228"/>
      <c r="UNO70" s="228"/>
      <c r="UNP70" s="228"/>
      <c r="UNQ70" s="228"/>
      <c r="UNR70" s="228"/>
      <c r="UNS70" s="226"/>
      <c r="UNT70" s="226"/>
      <c r="UNU70" s="224"/>
      <c r="UNV70" s="225"/>
      <c r="UNW70" s="226"/>
      <c r="UNX70" s="227"/>
      <c r="UNY70" s="228"/>
      <c r="UNZ70" s="228"/>
      <c r="UOA70" s="228"/>
      <c r="UOB70" s="228"/>
      <c r="UOC70" s="228"/>
      <c r="UOD70" s="228"/>
      <c r="UOE70" s="226"/>
      <c r="UOF70" s="226"/>
      <c r="UOG70" s="224"/>
      <c r="UOH70" s="225"/>
      <c r="UOI70" s="226"/>
      <c r="UOJ70" s="227"/>
      <c r="UOK70" s="228"/>
      <c r="UOL70" s="228"/>
      <c r="UOM70" s="228"/>
      <c r="UON70" s="228"/>
      <c r="UOO70" s="228"/>
      <c r="UOP70" s="228"/>
      <c r="UOQ70" s="226"/>
      <c r="UOR70" s="226"/>
      <c r="UOS70" s="224"/>
      <c r="UOT70" s="225"/>
      <c r="UOU70" s="226"/>
      <c r="UOV70" s="227"/>
      <c r="UOW70" s="228"/>
      <c r="UOX70" s="228"/>
      <c r="UOY70" s="228"/>
      <c r="UOZ70" s="228"/>
      <c r="UPA70" s="228"/>
      <c r="UPB70" s="228"/>
      <c r="UPC70" s="226"/>
      <c r="UPD70" s="226"/>
      <c r="UPE70" s="224"/>
      <c r="UPF70" s="225"/>
      <c r="UPG70" s="226"/>
      <c r="UPH70" s="227"/>
      <c r="UPI70" s="228"/>
      <c r="UPJ70" s="228"/>
      <c r="UPK70" s="228"/>
      <c r="UPL70" s="228"/>
      <c r="UPM70" s="228"/>
      <c r="UPN70" s="228"/>
      <c r="UPO70" s="226"/>
      <c r="UPP70" s="226"/>
      <c r="UPQ70" s="224"/>
      <c r="UPR70" s="225"/>
      <c r="UPS70" s="226"/>
      <c r="UPT70" s="227"/>
      <c r="UPU70" s="228"/>
      <c r="UPV70" s="228"/>
      <c r="UPW70" s="228"/>
      <c r="UPX70" s="228"/>
      <c r="UPY70" s="228"/>
      <c r="UPZ70" s="228"/>
      <c r="UQA70" s="226"/>
      <c r="UQB70" s="226"/>
      <c r="UQC70" s="224"/>
      <c r="UQD70" s="225"/>
      <c r="UQE70" s="226"/>
      <c r="UQF70" s="227"/>
      <c r="UQG70" s="228"/>
      <c r="UQH70" s="228"/>
      <c r="UQI70" s="228"/>
      <c r="UQJ70" s="228"/>
      <c r="UQK70" s="228"/>
      <c r="UQL70" s="228"/>
      <c r="UQM70" s="226"/>
      <c r="UQN70" s="226"/>
      <c r="UQO70" s="224"/>
      <c r="UQP70" s="225"/>
      <c r="UQQ70" s="226"/>
      <c r="UQR70" s="227"/>
      <c r="UQS70" s="228"/>
      <c r="UQT70" s="228"/>
      <c r="UQU70" s="228"/>
      <c r="UQV70" s="228"/>
      <c r="UQW70" s="228"/>
      <c r="UQX70" s="228"/>
      <c r="UQY70" s="226"/>
      <c r="UQZ70" s="226"/>
      <c r="URA70" s="224"/>
      <c r="URB70" s="225"/>
      <c r="URC70" s="226"/>
      <c r="URD70" s="227"/>
      <c r="URE70" s="228"/>
      <c r="URF70" s="228"/>
      <c r="URG70" s="228"/>
      <c r="URH70" s="228"/>
      <c r="URI70" s="228"/>
      <c r="URJ70" s="228"/>
      <c r="URK70" s="226"/>
      <c r="URL70" s="226"/>
      <c r="URM70" s="224"/>
      <c r="URN70" s="225"/>
      <c r="URO70" s="226"/>
      <c r="URP70" s="227"/>
      <c r="URQ70" s="228"/>
      <c r="URR70" s="228"/>
      <c r="URS70" s="228"/>
      <c r="URT70" s="228"/>
      <c r="URU70" s="228"/>
      <c r="URV70" s="228"/>
      <c r="URW70" s="226"/>
      <c r="URX70" s="226"/>
      <c r="URY70" s="224"/>
      <c r="URZ70" s="225"/>
      <c r="USA70" s="226"/>
      <c r="USB70" s="227"/>
      <c r="USC70" s="228"/>
      <c r="USD70" s="228"/>
      <c r="USE70" s="228"/>
      <c r="USF70" s="228"/>
      <c r="USG70" s="228"/>
      <c r="USH70" s="228"/>
      <c r="USI70" s="226"/>
      <c r="USJ70" s="226"/>
      <c r="USK70" s="224"/>
      <c r="USL70" s="225"/>
      <c r="USM70" s="226"/>
      <c r="USN70" s="227"/>
      <c r="USO70" s="228"/>
      <c r="USP70" s="228"/>
      <c r="USQ70" s="228"/>
      <c r="USR70" s="228"/>
      <c r="USS70" s="228"/>
      <c r="UST70" s="228"/>
      <c r="USU70" s="226"/>
      <c r="USV70" s="226"/>
      <c r="USW70" s="224"/>
      <c r="USX70" s="225"/>
      <c r="USY70" s="226"/>
      <c r="USZ70" s="227"/>
      <c r="UTA70" s="228"/>
      <c r="UTB70" s="228"/>
      <c r="UTC70" s="228"/>
      <c r="UTD70" s="228"/>
      <c r="UTE70" s="228"/>
      <c r="UTF70" s="228"/>
      <c r="UTG70" s="226"/>
      <c r="UTH70" s="226"/>
      <c r="UTI70" s="224"/>
      <c r="UTJ70" s="225"/>
      <c r="UTK70" s="226"/>
      <c r="UTL70" s="227"/>
      <c r="UTM70" s="228"/>
      <c r="UTN70" s="228"/>
      <c r="UTO70" s="228"/>
      <c r="UTP70" s="228"/>
      <c r="UTQ70" s="228"/>
      <c r="UTR70" s="228"/>
      <c r="UTS70" s="226"/>
      <c r="UTT70" s="226"/>
      <c r="UTU70" s="224"/>
      <c r="UTV70" s="225"/>
      <c r="UTW70" s="226"/>
      <c r="UTX70" s="227"/>
      <c r="UTY70" s="228"/>
      <c r="UTZ70" s="228"/>
      <c r="UUA70" s="228"/>
      <c r="UUB70" s="228"/>
      <c r="UUC70" s="228"/>
      <c r="UUD70" s="228"/>
      <c r="UUE70" s="226"/>
      <c r="UUF70" s="226"/>
      <c r="UUG70" s="224"/>
      <c r="UUH70" s="225"/>
      <c r="UUI70" s="226"/>
      <c r="UUJ70" s="227"/>
      <c r="UUK70" s="228"/>
      <c r="UUL70" s="228"/>
      <c r="UUM70" s="228"/>
      <c r="UUN70" s="228"/>
      <c r="UUO70" s="228"/>
      <c r="UUP70" s="228"/>
      <c r="UUQ70" s="226"/>
      <c r="UUR70" s="226"/>
      <c r="UUS70" s="224"/>
      <c r="UUT70" s="225"/>
      <c r="UUU70" s="226"/>
      <c r="UUV70" s="227"/>
      <c r="UUW70" s="228"/>
      <c r="UUX70" s="228"/>
      <c r="UUY70" s="228"/>
      <c r="UUZ70" s="228"/>
      <c r="UVA70" s="228"/>
      <c r="UVB70" s="228"/>
      <c r="UVC70" s="226"/>
      <c r="UVD70" s="226"/>
      <c r="UVE70" s="224"/>
      <c r="UVF70" s="225"/>
      <c r="UVG70" s="226"/>
      <c r="UVH70" s="227"/>
      <c r="UVI70" s="228"/>
      <c r="UVJ70" s="228"/>
      <c r="UVK70" s="228"/>
      <c r="UVL70" s="228"/>
      <c r="UVM70" s="228"/>
      <c r="UVN70" s="228"/>
      <c r="UVO70" s="226"/>
      <c r="UVP70" s="226"/>
      <c r="UVQ70" s="224"/>
      <c r="UVR70" s="225"/>
      <c r="UVS70" s="226"/>
      <c r="UVT70" s="227"/>
      <c r="UVU70" s="228"/>
      <c r="UVV70" s="228"/>
      <c r="UVW70" s="228"/>
      <c r="UVX70" s="228"/>
      <c r="UVY70" s="228"/>
      <c r="UVZ70" s="228"/>
      <c r="UWA70" s="226"/>
      <c r="UWB70" s="226"/>
      <c r="UWC70" s="224"/>
      <c r="UWD70" s="225"/>
      <c r="UWE70" s="226"/>
      <c r="UWF70" s="227"/>
      <c r="UWG70" s="228"/>
      <c r="UWH70" s="228"/>
      <c r="UWI70" s="228"/>
      <c r="UWJ70" s="228"/>
      <c r="UWK70" s="228"/>
      <c r="UWL70" s="228"/>
      <c r="UWM70" s="226"/>
      <c r="UWN70" s="226"/>
      <c r="UWO70" s="224"/>
      <c r="UWP70" s="225"/>
      <c r="UWQ70" s="226"/>
      <c r="UWR70" s="227"/>
      <c r="UWS70" s="228"/>
      <c r="UWT70" s="228"/>
      <c r="UWU70" s="228"/>
      <c r="UWV70" s="228"/>
      <c r="UWW70" s="228"/>
      <c r="UWX70" s="228"/>
      <c r="UWY70" s="226"/>
      <c r="UWZ70" s="226"/>
      <c r="UXA70" s="224"/>
      <c r="UXB70" s="225"/>
      <c r="UXC70" s="226"/>
      <c r="UXD70" s="227"/>
      <c r="UXE70" s="228"/>
      <c r="UXF70" s="228"/>
      <c r="UXG70" s="228"/>
      <c r="UXH70" s="228"/>
      <c r="UXI70" s="228"/>
      <c r="UXJ70" s="228"/>
      <c r="UXK70" s="226"/>
      <c r="UXL70" s="226"/>
      <c r="UXM70" s="224"/>
      <c r="UXN70" s="225"/>
      <c r="UXO70" s="226"/>
      <c r="UXP70" s="227"/>
      <c r="UXQ70" s="228"/>
      <c r="UXR70" s="228"/>
      <c r="UXS70" s="228"/>
      <c r="UXT70" s="228"/>
      <c r="UXU70" s="228"/>
      <c r="UXV70" s="228"/>
      <c r="UXW70" s="226"/>
      <c r="UXX70" s="226"/>
      <c r="UXY70" s="224"/>
      <c r="UXZ70" s="225"/>
      <c r="UYA70" s="226"/>
      <c r="UYB70" s="227"/>
      <c r="UYC70" s="228"/>
      <c r="UYD70" s="228"/>
      <c r="UYE70" s="228"/>
      <c r="UYF70" s="228"/>
      <c r="UYG70" s="228"/>
      <c r="UYH70" s="228"/>
      <c r="UYI70" s="226"/>
      <c r="UYJ70" s="226"/>
      <c r="UYK70" s="224"/>
      <c r="UYL70" s="225"/>
      <c r="UYM70" s="226"/>
      <c r="UYN70" s="227"/>
      <c r="UYO70" s="228"/>
      <c r="UYP70" s="228"/>
      <c r="UYQ70" s="228"/>
      <c r="UYR70" s="228"/>
      <c r="UYS70" s="228"/>
      <c r="UYT70" s="228"/>
      <c r="UYU70" s="226"/>
      <c r="UYV70" s="226"/>
      <c r="UYW70" s="224"/>
      <c r="UYX70" s="225"/>
      <c r="UYY70" s="226"/>
      <c r="UYZ70" s="227"/>
      <c r="UZA70" s="228"/>
      <c r="UZB70" s="228"/>
      <c r="UZC70" s="228"/>
      <c r="UZD70" s="228"/>
      <c r="UZE70" s="228"/>
      <c r="UZF70" s="228"/>
      <c r="UZG70" s="226"/>
      <c r="UZH70" s="226"/>
      <c r="UZI70" s="224"/>
      <c r="UZJ70" s="225"/>
      <c r="UZK70" s="226"/>
      <c r="UZL70" s="227"/>
      <c r="UZM70" s="228"/>
      <c r="UZN70" s="228"/>
      <c r="UZO70" s="228"/>
      <c r="UZP70" s="228"/>
      <c r="UZQ70" s="228"/>
      <c r="UZR70" s="228"/>
      <c r="UZS70" s="226"/>
      <c r="UZT70" s="226"/>
      <c r="UZU70" s="224"/>
      <c r="UZV70" s="225"/>
      <c r="UZW70" s="226"/>
      <c r="UZX70" s="227"/>
      <c r="UZY70" s="228"/>
      <c r="UZZ70" s="228"/>
      <c r="VAA70" s="228"/>
      <c r="VAB70" s="228"/>
      <c r="VAC70" s="228"/>
      <c r="VAD70" s="228"/>
      <c r="VAE70" s="226"/>
      <c r="VAF70" s="226"/>
      <c r="VAG70" s="224"/>
      <c r="VAH70" s="225"/>
      <c r="VAI70" s="226"/>
      <c r="VAJ70" s="227"/>
      <c r="VAK70" s="228"/>
      <c r="VAL70" s="228"/>
      <c r="VAM70" s="228"/>
      <c r="VAN70" s="228"/>
      <c r="VAO70" s="228"/>
      <c r="VAP70" s="228"/>
      <c r="VAQ70" s="226"/>
      <c r="VAR70" s="226"/>
      <c r="VAS70" s="224"/>
      <c r="VAT70" s="225"/>
      <c r="VAU70" s="226"/>
      <c r="VAV70" s="227"/>
      <c r="VAW70" s="228"/>
      <c r="VAX70" s="228"/>
      <c r="VAY70" s="228"/>
      <c r="VAZ70" s="228"/>
      <c r="VBA70" s="228"/>
      <c r="VBB70" s="228"/>
      <c r="VBC70" s="226"/>
      <c r="VBD70" s="226"/>
      <c r="VBE70" s="224"/>
      <c r="VBF70" s="225"/>
      <c r="VBG70" s="226"/>
      <c r="VBH70" s="227"/>
      <c r="VBI70" s="228"/>
      <c r="VBJ70" s="228"/>
      <c r="VBK70" s="228"/>
      <c r="VBL70" s="228"/>
      <c r="VBM70" s="228"/>
      <c r="VBN70" s="228"/>
      <c r="VBO70" s="226"/>
      <c r="VBP70" s="226"/>
      <c r="VBQ70" s="224"/>
      <c r="VBR70" s="225"/>
      <c r="VBS70" s="226"/>
      <c r="VBT70" s="227"/>
      <c r="VBU70" s="228"/>
      <c r="VBV70" s="228"/>
      <c r="VBW70" s="228"/>
      <c r="VBX70" s="228"/>
      <c r="VBY70" s="228"/>
      <c r="VBZ70" s="228"/>
      <c r="VCA70" s="226"/>
      <c r="VCB70" s="226"/>
      <c r="VCC70" s="224"/>
      <c r="VCD70" s="225"/>
      <c r="VCE70" s="226"/>
      <c r="VCF70" s="227"/>
      <c r="VCG70" s="228"/>
      <c r="VCH70" s="228"/>
      <c r="VCI70" s="228"/>
      <c r="VCJ70" s="228"/>
      <c r="VCK70" s="228"/>
      <c r="VCL70" s="228"/>
      <c r="VCM70" s="226"/>
      <c r="VCN70" s="226"/>
      <c r="VCO70" s="224"/>
      <c r="VCP70" s="225"/>
      <c r="VCQ70" s="226"/>
      <c r="VCR70" s="227"/>
      <c r="VCS70" s="228"/>
      <c r="VCT70" s="228"/>
      <c r="VCU70" s="228"/>
      <c r="VCV70" s="228"/>
      <c r="VCW70" s="228"/>
      <c r="VCX70" s="228"/>
      <c r="VCY70" s="226"/>
      <c r="VCZ70" s="226"/>
      <c r="VDA70" s="224"/>
      <c r="VDB70" s="225"/>
      <c r="VDC70" s="226"/>
      <c r="VDD70" s="227"/>
      <c r="VDE70" s="228"/>
      <c r="VDF70" s="228"/>
      <c r="VDG70" s="228"/>
      <c r="VDH70" s="228"/>
      <c r="VDI70" s="228"/>
      <c r="VDJ70" s="228"/>
      <c r="VDK70" s="226"/>
      <c r="VDL70" s="226"/>
      <c r="VDM70" s="224"/>
      <c r="VDN70" s="225"/>
      <c r="VDO70" s="226"/>
      <c r="VDP70" s="227"/>
      <c r="VDQ70" s="228"/>
      <c r="VDR70" s="228"/>
      <c r="VDS70" s="228"/>
      <c r="VDT70" s="228"/>
      <c r="VDU70" s="228"/>
      <c r="VDV70" s="228"/>
      <c r="VDW70" s="226"/>
      <c r="VDX70" s="226"/>
      <c r="VDY70" s="224"/>
      <c r="VDZ70" s="225"/>
      <c r="VEA70" s="226"/>
      <c r="VEB70" s="227"/>
      <c r="VEC70" s="228"/>
      <c r="VED70" s="228"/>
      <c r="VEE70" s="228"/>
      <c r="VEF70" s="228"/>
      <c r="VEG70" s="228"/>
      <c r="VEH70" s="228"/>
      <c r="VEI70" s="226"/>
      <c r="VEJ70" s="226"/>
      <c r="VEK70" s="224"/>
      <c r="VEL70" s="225"/>
      <c r="VEM70" s="226"/>
      <c r="VEN70" s="227"/>
      <c r="VEO70" s="228"/>
      <c r="VEP70" s="228"/>
      <c r="VEQ70" s="228"/>
      <c r="VER70" s="228"/>
      <c r="VES70" s="228"/>
      <c r="VET70" s="228"/>
      <c r="VEU70" s="226"/>
      <c r="VEV70" s="226"/>
      <c r="VEW70" s="224"/>
      <c r="VEX70" s="225"/>
      <c r="VEY70" s="226"/>
      <c r="VEZ70" s="227"/>
      <c r="VFA70" s="228"/>
      <c r="VFB70" s="228"/>
      <c r="VFC70" s="228"/>
      <c r="VFD70" s="228"/>
      <c r="VFE70" s="228"/>
      <c r="VFF70" s="228"/>
      <c r="VFG70" s="226"/>
      <c r="VFH70" s="226"/>
      <c r="VFI70" s="224"/>
      <c r="VFJ70" s="225"/>
      <c r="VFK70" s="226"/>
      <c r="VFL70" s="227"/>
      <c r="VFM70" s="228"/>
      <c r="VFN70" s="228"/>
      <c r="VFO70" s="228"/>
      <c r="VFP70" s="228"/>
      <c r="VFQ70" s="228"/>
      <c r="VFR70" s="228"/>
      <c r="VFS70" s="226"/>
      <c r="VFT70" s="226"/>
      <c r="VFU70" s="224"/>
      <c r="VFV70" s="225"/>
      <c r="VFW70" s="226"/>
      <c r="VFX70" s="227"/>
      <c r="VFY70" s="228"/>
      <c r="VFZ70" s="228"/>
      <c r="VGA70" s="228"/>
      <c r="VGB70" s="228"/>
      <c r="VGC70" s="228"/>
      <c r="VGD70" s="228"/>
      <c r="VGE70" s="226"/>
      <c r="VGF70" s="226"/>
      <c r="VGG70" s="224"/>
      <c r="VGH70" s="225"/>
      <c r="VGI70" s="226"/>
      <c r="VGJ70" s="227"/>
      <c r="VGK70" s="228"/>
      <c r="VGL70" s="228"/>
      <c r="VGM70" s="228"/>
      <c r="VGN70" s="228"/>
      <c r="VGO70" s="228"/>
      <c r="VGP70" s="228"/>
      <c r="VGQ70" s="226"/>
      <c r="VGR70" s="226"/>
      <c r="VGS70" s="224"/>
      <c r="VGT70" s="225"/>
      <c r="VGU70" s="226"/>
      <c r="VGV70" s="227"/>
      <c r="VGW70" s="228"/>
      <c r="VGX70" s="228"/>
      <c r="VGY70" s="228"/>
      <c r="VGZ70" s="228"/>
      <c r="VHA70" s="228"/>
      <c r="VHB70" s="228"/>
      <c r="VHC70" s="226"/>
      <c r="VHD70" s="226"/>
      <c r="VHE70" s="224"/>
      <c r="VHF70" s="225"/>
      <c r="VHG70" s="226"/>
      <c r="VHH70" s="227"/>
      <c r="VHI70" s="228"/>
      <c r="VHJ70" s="228"/>
      <c r="VHK70" s="228"/>
      <c r="VHL70" s="228"/>
      <c r="VHM70" s="228"/>
      <c r="VHN70" s="228"/>
      <c r="VHO70" s="226"/>
      <c r="VHP70" s="226"/>
      <c r="VHQ70" s="224"/>
      <c r="VHR70" s="225"/>
      <c r="VHS70" s="226"/>
      <c r="VHT70" s="227"/>
      <c r="VHU70" s="228"/>
      <c r="VHV70" s="228"/>
      <c r="VHW70" s="228"/>
      <c r="VHX70" s="228"/>
      <c r="VHY70" s="228"/>
      <c r="VHZ70" s="228"/>
      <c r="VIA70" s="226"/>
      <c r="VIB70" s="226"/>
      <c r="VIC70" s="224"/>
      <c r="VID70" s="225"/>
      <c r="VIE70" s="226"/>
      <c r="VIF70" s="227"/>
      <c r="VIG70" s="228"/>
      <c r="VIH70" s="228"/>
      <c r="VII70" s="228"/>
      <c r="VIJ70" s="228"/>
      <c r="VIK70" s="228"/>
      <c r="VIL70" s="228"/>
      <c r="VIM70" s="226"/>
      <c r="VIN70" s="226"/>
      <c r="VIO70" s="224"/>
      <c r="VIP70" s="225"/>
      <c r="VIQ70" s="226"/>
      <c r="VIR70" s="227"/>
      <c r="VIS70" s="228"/>
      <c r="VIT70" s="228"/>
      <c r="VIU70" s="228"/>
      <c r="VIV70" s="228"/>
      <c r="VIW70" s="228"/>
      <c r="VIX70" s="228"/>
      <c r="VIY70" s="226"/>
      <c r="VIZ70" s="226"/>
      <c r="VJA70" s="224"/>
      <c r="VJB70" s="225"/>
      <c r="VJC70" s="226"/>
      <c r="VJD70" s="227"/>
      <c r="VJE70" s="228"/>
      <c r="VJF70" s="228"/>
      <c r="VJG70" s="228"/>
      <c r="VJH70" s="228"/>
      <c r="VJI70" s="228"/>
      <c r="VJJ70" s="228"/>
      <c r="VJK70" s="226"/>
      <c r="VJL70" s="226"/>
      <c r="VJM70" s="224"/>
      <c r="VJN70" s="225"/>
      <c r="VJO70" s="226"/>
      <c r="VJP70" s="227"/>
      <c r="VJQ70" s="228"/>
      <c r="VJR70" s="228"/>
      <c r="VJS70" s="228"/>
      <c r="VJT70" s="228"/>
      <c r="VJU70" s="228"/>
      <c r="VJV70" s="228"/>
      <c r="VJW70" s="226"/>
      <c r="VJX70" s="226"/>
      <c r="VJY70" s="224"/>
      <c r="VJZ70" s="225"/>
      <c r="VKA70" s="226"/>
      <c r="VKB70" s="227"/>
      <c r="VKC70" s="228"/>
      <c r="VKD70" s="228"/>
      <c r="VKE70" s="228"/>
      <c r="VKF70" s="228"/>
      <c r="VKG70" s="228"/>
      <c r="VKH70" s="228"/>
      <c r="VKI70" s="226"/>
      <c r="VKJ70" s="226"/>
      <c r="VKK70" s="224"/>
      <c r="VKL70" s="225"/>
      <c r="VKM70" s="226"/>
      <c r="VKN70" s="227"/>
      <c r="VKO70" s="228"/>
      <c r="VKP70" s="228"/>
      <c r="VKQ70" s="228"/>
      <c r="VKR70" s="228"/>
      <c r="VKS70" s="228"/>
      <c r="VKT70" s="228"/>
      <c r="VKU70" s="226"/>
      <c r="VKV70" s="226"/>
      <c r="VKW70" s="224"/>
      <c r="VKX70" s="225"/>
      <c r="VKY70" s="226"/>
      <c r="VKZ70" s="227"/>
      <c r="VLA70" s="228"/>
      <c r="VLB70" s="228"/>
      <c r="VLC70" s="228"/>
      <c r="VLD70" s="228"/>
      <c r="VLE70" s="228"/>
      <c r="VLF70" s="228"/>
      <c r="VLG70" s="226"/>
      <c r="VLH70" s="226"/>
      <c r="VLI70" s="224"/>
      <c r="VLJ70" s="225"/>
      <c r="VLK70" s="226"/>
      <c r="VLL70" s="227"/>
      <c r="VLM70" s="228"/>
      <c r="VLN70" s="228"/>
      <c r="VLO70" s="228"/>
      <c r="VLP70" s="228"/>
      <c r="VLQ70" s="228"/>
      <c r="VLR70" s="228"/>
      <c r="VLS70" s="226"/>
      <c r="VLT70" s="226"/>
      <c r="VLU70" s="224"/>
      <c r="VLV70" s="225"/>
      <c r="VLW70" s="226"/>
      <c r="VLX70" s="227"/>
      <c r="VLY70" s="228"/>
      <c r="VLZ70" s="228"/>
      <c r="VMA70" s="228"/>
      <c r="VMB70" s="228"/>
      <c r="VMC70" s="228"/>
      <c r="VMD70" s="228"/>
      <c r="VME70" s="226"/>
      <c r="VMF70" s="226"/>
      <c r="VMG70" s="224"/>
      <c r="VMH70" s="225"/>
      <c r="VMI70" s="226"/>
      <c r="VMJ70" s="227"/>
      <c r="VMK70" s="228"/>
      <c r="VML70" s="228"/>
      <c r="VMM70" s="228"/>
      <c r="VMN70" s="228"/>
      <c r="VMO70" s="228"/>
      <c r="VMP70" s="228"/>
      <c r="VMQ70" s="226"/>
      <c r="VMR70" s="226"/>
      <c r="VMS70" s="224"/>
      <c r="VMT70" s="225"/>
      <c r="VMU70" s="226"/>
      <c r="VMV70" s="227"/>
      <c r="VMW70" s="228"/>
      <c r="VMX70" s="228"/>
      <c r="VMY70" s="228"/>
      <c r="VMZ70" s="228"/>
      <c r="VNA70" s="228"/>
      <c r="VNB70" s="228"/>
      <c r="VNC70" s="226"/>
      <c r="VND70" s="226"/>
      <c r="VNE70" s="224"/>
      <c r="VNF70" s="225"/>
      <c r="VNG70" s="226"/>
      <c r="VNH70" s="227"/>
      <c r="VNI70" s="228"/>
      <c r="VNJ70" s="228"/>
      <c r="VNK70" s="228"/>
      <c r="VNL70" s="228"/>
      <c r="VNM70" s="228"/>
      <c r="VNN70" s="228"/>
      <c r="VNO70" s="226"/>
      <c r="VNP70" s="226"/>
      <c r="VNQ70" s="224"/>
      <c r="VNR70" s="225"/>
      <c r="VNS70" s="226"/>
      <c r="VNT70" s="227"/>
      <c r="VNU70" s="228"/>
      <c r="VNV70" s="228"/>
      <c r="VNW70" s="228"/>
      <c r="VNX70" s="228"/>
      <c r="VNY70" s="228"/>
      <c r="VNZ70" s="228"/>
      <c r="VOA70" s="226"/>
      <c r="VOB70" s="226"/>
      <c r="VOC70" s="224"/>
      <c r="VOD70" s="225"/>
      <c r="VOE70" s="226"/>
      <c r="VOF70" s="227"/>
      <c r="VOG70" s="228"/>
      <c r="VOH70" s="228"/>
      <c r="VOI70" s="228"/>
      <c r="VOJ70" s="228"/>
      <c r="VOK70" s="228"/>
      <c r="VOL70" s="228"/>
      <c r="VOM70" s="226"/>
      <c r="VON70" s="226"/>
      <c r="VOO70" s="224"/>
      <c r="VOP70" s="225"/>
      <c r="VOQ70" s="226"/>
      <c r="VOR70" s="227"/>
      <c r="VOS70" s="228"/>
      <c r="VOT70" s="228"/>
      <c r="VOU70" s="228"/>
      <c r="VOV70" s="228"/>
      <c r="VOW70" s="228"/>
      <c r="VOX70" s="228"/>
      <c r="VOY70" s="226"/>
      <c r="VOZ70" s="226"/>
      <c r="VPA70" s="224"/>
      <c r="VPB70" s="225"/>
      <c r="VPC70" s="226"/>
      <c r="VPD70" s="227"/>
      <c r="VPE70" s="228"/>
      <c r="VPF70" s="228"/>
      <c r="VPG70" s="228"/>
      <c r="VPH70" s="228"/>
      <c r="VPI70" s="228"/>
      <c r="VPJ70" s="228"/>
      <c r="VPK70" s="226"/>
      <c r="VPL70" s="226"/>
      <c r="VPM70" s="224"/>
      <c r="VPN70" s="225"/>
      <c r="VPO70" s="226"/>
      <c r="VPP70" s="227"/>
      <c r="VPQ70" s="228"/>
      <c r="VPR70" s="228"/>
      <c r="VPS70" s="228"/>
      <c r="VPT70" s="228"/>
      <c r="VPU70" s="228"/>
      <c r="VPV70" s="228"/>
      <c r="VPW70" s="226"/>
      <c r="VPX70" s="226"/>
      <c r="VPY70" s="224"/>
      <c r="VPZ70" s="225"/>
      <c r="VQA70" s="226"/>
      <c r="VQB70" s="227"/>
      <c r="VQC70" s="228"/>
      <c r="VQD70" s="228"/>
      <c r="VQE70" s="228"/>
      <c r="VQF70" s="228"/>
      <c r="VQG70" s="228"/>
      <c r="VQH70" s="228"/>
      <c r="VQI70" s="226"/>
      <c r="VQJ70" s="226"/>
      <c r="VQK70" s="224"/>
      <c r="VQL70" s="225"/>
      <c r="VQM70" s="226"/>
      <c r="VQN70" s="227"/>
      <c r="VQO70" s="228"/>
      <c r="VQP70" s="228"/>
      <c r="VQQ70" s="228"/>
      <c r="VQR70" s="228"/>
      <c r="VQS70" s="228"/>
      <c r="VQT70" s="228"/>
      <c r="VQU70" s="226"/>
      <c r="VQV70" s="226"/>
      <c r="VQW70" s="224"/>
      <c r="VQX70" s="225"/>
      <c r="VQY70" s="226"/>
      <c r="VQZ70" s="227"/>
      <c r="VRA70" s="228"/>
      <c r="VRB70" s="228"/>
      <c r="VRC70" s="228"/>
      <c r="VRD70" s="228"/>
      <c r="VRE70" s="228"/>
      <c r="VRF70" s="228"/>
      <c r="VRG70" s="226"/>
      <c r="VRH70" s="226"/>
      <c r="VRI70" s="224"/>
      <c r="VRJ70" s="225"/>
      <c r="VRK70" s="226"/>
      <c r="VRL70" s="227"/>
      <c r="VRM70" s="228"/>
      <c r="VRN70" s="228"/>
      <c r="VRO70" s="228"/>
      <c r="VRP70" s="228"/>
      <c r="VRQ70" s="228"/>
      <c r="VRR70" s="228"/>
      <c r="VRS70" s="226"/>
      <c r="VRT70" s="226"/>
      <c r="VRU70" s="224"/>
      <c r="VRV70" s="225"/>
      <c r="VRW70" s="226"/>
      <c r="VRX70" s="227"/>
      <c r="VRY70" s="228"/>
      <c r="VRZ70" s="228"/>
      <c r="VSA70" s="228"/>
      <c r="VSB70" s="228"/>
      <c r="VSC70" s="228"/>
      <c r="VSD70" s="228"/>
      <c r="VSE70" s="226"/>
      <c r="VSF70" s="226"/>
      <c r="VSG70" s="224"/>
      <c r="VSH70" s="225"/>
      <c r="VSI70" s="226"/>
      <c r="VSJ70" s="227"/>
      <c r="VSK70" s="228"/>
      <c r="VSL70" s="228"/>
      <c r="VSM70" s="228"/>
      <c r="VSN70" s="228"/>
      <c r="VSO70" s="228"/>
      <c r="VSP70" s="228"/>
      <c r="VSQ70" s="226"/>
      <c r="VSR70" s="226"/>
      <c r="VSS70" s="224"/>
      <c r="VST70" s="225"/>
      <c r="VSU70" s="226"/>
      <c r="VSV70" s="227"/>
      <c r="VSW70" s="228"/>
      <c r="VSX70" s="228"/>
      <c r="VSY70" s="228"/>
      <c r="VSZ70" s="228"/>
      <c r="VTA70" s="228"/>
      <c r="VTB70" s="228"/>
      <c r="VTC70" s="226"/>
      <c r="VTD70" s="226"/>
      <c r="VTE70" s="224"/>
      <c r="VTF70" s="225"/>
      <c r="VTG70" s="226"/>
      <c r="VTH70" s="227"/>
      <c r="VTI70" s="228"/>
      <c r="VTJ70" s="228"/>
      <c r="VTK70" s="228"/>
      <c r="VTL70" s="228"/>
      <c r="VTM70" s="228"/>
      <c r="VTN70" s="228"/>
      <c r="VTO70" s="226"/>
      <c r="VTP70" s="226"/>
      <c r="VTQ70" s="224"/>
      <c r="VTR70" s="225"/>
      <c r="VTS70" s="226"/>
      <c r="VTT70" s="227"/>
      <c r="VTU70" s="228"/>
      <c r="VTV70" s="228"/>
      <c r="VTW70" s="228"/>
      <c r="VTX70" s="228"/>
      <c r="VTY70" s="228"/>
      <c r="VTZ70" s="228"/>
      <c r="VUA70" s="226"/>
      <c r="VUB70" s="226"/>
      <c r="VUC70" s="224"/>
      <c r="VUD70" s="225"/>
      <c r="VUE70" s="226"/>
      <c r="VUF70" s="227"/>
      <c r="VUG70" s="228"/>
      <c r="VUH70" s="228"/>
      <c r="VUI70" s="228"/>
      <c r="VUJ70" s="228"/>
      <c r="VUK70" s="228"/>
      <c r="VUL70" s="228"/>
      <c r="VUM70" s="226"/>
      <c r="VUN70" s="226"/>
      <c r="VUO70" s="224"/>
      <c r="VUP70" s="225"/>
      <c r="VUQ70" s="226"/>
      <c r="VUR70" s="227"/>
      <c r="VUS70" s="228"/>
      <c r="VUT70" s="228"/>
      <c r="VUU70" s="228"/>
      <c r="VUV70" s="228"/>
      <c r="VUW70" s="228"/>
      <c r="VUX70" s="228"/>
      <c r="VUY70" s="226"/>
      <c r="VUZ70" s="226"/>
      <c r="VVA70" s="224"/>
      <c r="VVB70" s="225"/>
      <c r="VVC70" s="226"/>
      <c r="VVD70" s="227"/>
      <c r="VVE70" s="228"/>
      <c r="VVF70" s="228"/>
      <c r="VVG70" s="228"/>
      <c r="VVH70" s="228"/>
      <c r="VVI70" s="228"/>
      <c r="VVJ70" s="228"/>
      <c r="VVK70" s="226"/>
      <c r="VVL70" s="226"/>
      <c r="VVM70" s="224"/>
      <c r="VVN70" s="225"/>
      <c r="VVO70" s="226"/>
      <c r="VVP70" s="227"/>
      <c r="VVQ70" s="228"/>
      <c r="VVR70" s="228"/>
      <c r="VVS70" s="228"/>
      <c r="VVT70" s="228"/>
      <c r="VVU70" s="228"/>
      <c r="VVV70" s="228"/>
      <c r="VVW70" s="226"/>
      <c r="VVX70" s="226"/>
      <c r="VVY70" s="224"/>
      <c r="VVZ70" s="225"/>
      <c r="VWA70" s="226"/>
      <c r="VWB70" s="227"/>
      <c r="VWC70" s="228"/>
      <c r="VWD70" s="228"/>
      <c r="VWE70" s="228"/>
      <c r="VWF70" s="228"/>
      <c r="VWG70" s="228"/>
      <c r="VWH70" s="228"/>
      <c r="VWI70" s="226"/>
      <c r="VWJ70" s="226"/>
      <c r="VWK70" s="224"/>
      <c r="VWL70" s="225"/>
      <c r="VWM70" s="226"/>
      <c r="VWN70" s="227"/>
      <c r="VWO70" s="228"/>
      <c r="VWP70" s="228"/>
      <c r="VWQ70" s="228"/>
      <c r="VWR70" s="228"/>
      <c r="VWS70" s="228"/>
      <c r="VWT70" s="228"/>
      <c r="VWU70" s="226"/>
      <c r="VWV70" s="226"/>
      <c r="VWW70" s="224"/>
      <c r="VWX70" s="225"/>
      <c r="VWY70" s="226"/>
      <c r="VWZ70" s="227"/>
      <c r="VXA70" s="228"/>
      <c r="VXB70" s="228"/>
      <c r="VXC70" s="228"/>
      <c r="VXD70" s="228"/>
      <c r="VXE70" s="228"/>
      <c r="VXF70" s="228"/>
      <c r="VXG70" s="226"/>
      <c r="VXH70" s="226"/>
      <c r="VXI70" s="224"/>
      <c r="VXJ70" s="225"/>
      <c r="VXK70" s="226"/>
      <c r="VXL70" s="227"/>
      <c r="VXM70" s="228"/>
      <c r="VXN70" s="228"/>
      <c r="VXO70" s="228"/>
      <c r="VXP70" s="228"/>
      <c r="VXQ70" s="228"/>
      <c r="VXR70" s="228"/>
      <c r="VXS70" s="226"/>
      <c r="VXT70" s="226"/>
      <c r="VXU70" s="224"/>
      <c r="VXV70" s="225"/>
      <c r="VXW70" s="226"/>
      <c r="VXX70" s="227"/>
      <c r="VXY70" s="228"/>
      <c r="VXZ70" s="228"/>
      <c r="VYA70" s="228"/>
      <c r="VYB70" s="228"/>
      <c r="VYC70" s="228"/>
      <c r="VYD70" s="228"/>
      <c r="VYE70" s="226"/>
      <c r="VYF70" s="226"/>
      <c r="VYG70" s="224"/>
      <c r="VYH70" s="225"/>
      <c r="VYI70" s="226"/>
      <c r="VYJ70" s="227"/>
      <c r="VYK70" s="228"/>
      <c r="VYL70" s="228"/>
      <c r="VYM70" s="228"/>
      <c r="VYN70" s="228"/>
      <c r="VYO70" s="228"/>
      <c r="VYP70" s="228"/>
      <c r="VYQ70" s="226"/>
      <c r="VYR70" s="226"/>
      <c r="VYS70" s="224"/>
      <c r="VYT70" s="225"/>
      <c r="VYU70" s="226"/>
      <c r="VYV70" s="227"/>
      <c r="VYW70" s="228"/>
      <c r="VYX70" s="228"/>
      <c r="VYY70" s="228"/>
      <c r="VYZ70" s="228"/>
      <c r="VZA70" s="228"/>
      <c r="VZB70" s="228"/>
      <c r="VZC70" s="226"/>
      <c r="VZD70" s="226"/>
      <c r="VZE70" s="224"/>
      <c r="VZF70" s="225"/>
      <c r="VZG70" s="226"/>
      <c r="VZH70" s="227"/>
      <c r="VZI70" s="228"/>
      <c r="VZJ70" s="228"/>
      <c r="VZK70" s="228"/>
      <c r="VZL70" s="228"/>
      <c r="VZM70" s="228"/>
      <c r="VZN70" s="228"/>
      <c r="VZO70" s="226"/>
      <c r="VZP70" s="226"/>
      <c r="VZQ70" s="224"/>
      <c r="VZR70" s="225"/>
      <c r="VZS70" s="226"/>
      <c r="VZT70" s="227"/>
      <c r="VZU70" s="228"/>
      <c r="VZV70" s="228"/>
      <c r="VZW70" s="228"/>
      <c r="VZX70" s="228"/>
      <c r="VZY70" s="228"/>
      <c r="VZZ70" s="228"/>
      <c r="WAA70" s="226"/>
      <c r="WAB70" s="226"/>
      <c r="WAC70" s="224"/>
      <c r="WAD70" s="225"/>
      <c r="WAE70" s="226"/>
      <c r="WAF70" s="227"/>
      <c r="WAG70" s="228"/>
      <c r="WAH70" s="228"/>
      <c r="WAI70" s="228"/>
      <c r="WAJ70" s="228"/>
      <c r="WAK70" s="228"/>
      <c r="WAL70" s="228"/>
      <c r="WAM70" s="226"/>
      <c r="WAN70" s="226"/>
      <c r="WAO70" s="224"/>
      <c r="WAP70" s="225"/>
      <c r="WAQ70" s="226"/>
      <c r="WAR70" s="227"/>
      <c r="WAS70" s="228"/>
      <c r="WAT70" s="228"/>
      <c r="WAU70" s="228"/>
      <c r="WAV70" s="228"/>
      <c r="WAW70" s="228"/>
      <c r="WAX70" s="228"/>
      <c r="WAY70" s="226"/>
      <c r="WAZ70" s="226"/>
      <c r="WBA70" s="224"/>
      <c r="WBB70" s="225"/>
      <c r="WBC70" s="226"/>
      <c r="WBD70" s="227"/>
      <c r="WBE70" s="228"/>
      <c r="WBF70" s="228"/>
      <c r="WBG70" s="228"/>
      <c r="WBH70" s="228"/>
      <c r="WBI70" s="228"/>
      <c r="WBJ70" s="228"/>
      <c r="WBK70" s="226"/>
      <c r="WBL70" s="226"/>
      <c r="WBM70" s="224"/>
      <c r="WBN70" s="225"/>
      <c r="WBO70" s="226"/>
      <c r="WBP70" s="227"/>
      <c r="WBQ70" s="228"/>
      <c r="WBR70" s="228"/>
      <c r="WBS70" s="228"/>
      <c r="WBT70" s="228"/>
      <c r="WBU70" s="228"/>
      <c r="WBV70" s="228"/>
      <c r="WBW70" s="226"/>
      <c r="WBX70" s="226"/>
      <c r="WBY70" s="224"/>
      <c r="WBZ70" s="225"/>
      <c r="WCA70" s="226"/>
      <c r="WCB70" s="227"/>
      <c r="WCC70" s="228"/>
      <c r="WCD70" s="228"/>
      <c r="WCE70" s="228"/>
      <c r="WCF70" s="228"/>
      <c r="WCG70" s="228"/>
      <c r="WCH70" s="228"/>
      <c r="WCI70" s="226"/>
      <c r="WCJ70" s="226"/>
      <c r="WCK70" s="224"/>
      <c r="WCL70" s="225"/>
      <c r="WCM70" s="226"/>
      <c r="WCN70" s="227"/>
      <c r="WCO70" s="228"/>
      <c r="WCP70" s="228"/>
      <c r="WCQ70" s="228"/>
      <c r="WCR70" s="228"/>
      <c r="WCS70" s="228"/>
      <c r="WCT70" s="228"/>
      <c r="WCU70" s="226"/>
      <c r="WCV70" s="226"/>
      <c r="WCW70" s="224"/>
      <c r="WCX70" s="225"/>
      <c r="WCY70" s="226"/>
      <c r="WCZ70" s="227"/>
      <c r="WDA70" s="228"/>
      <c r="WDB70" s="228"/>
      <c r="WDC70" s="228"/>
      <c r="WDD70" s="228"/>
      <c r="WDE70" s="228"/>
      <c r="WDF70" s="228"/>
      <c r="WDG70" s="226"/>
      <c r="WDH70" s="226"/>
      <c r="WDI70" s="224"/>
      <c r="WDJ70" s="225"/>
      <c r="WDK70" s="226"/>
      <c r="WDL70" s="227"/>
      <c r="WDM70" s="228"/>
      <c r="WDN70" s="228"/>
      <c r="WDO70" s="228"/>
      <c r="WDP70" s="228"/>
      <c r="WDQ70" s="228"/>
      <c r="WDR70" s="228"/>
      <c r="WDS70" s="226"/>
      <c r="WDT70" s="226"/>
      <c r="WDU70" s="224"/>
      <c r="WDV70" s="225"/>
      <c r="WDW70" s="226"/>
      <c r="WDX70" s="227"/>
      <c r="WDY70" s="228"/>
      <c r="WDZ70" s="228"/>
      <c r="WEA70" s="228"/>
      <c r="WEB70" s="228"/>
      <c r="WEC70" s="228"/>
      <c r="WED70" s="228"/>
      <c r="WEE70" s="226"/>
      <c r="WEF70" s="226"/>
      <c r="WEG70" s="224"/>
      <c r="WEH70" s="225"/>
      <c r="WEI70" s="226"/>
      <c r="WEJ70" s="227"/>
      <c r="WEK70" s="228"/>
      <c r="WEL70" s="228"/>
      <c r="WEM70" s="228"/>
      <c r="WEN70" s="228"/>
      <c r="WEO70" s="228"/>
      <c r="WEP70" s="228"/>
      <c r="WEQ70" s="226"/>
      <c r="WER70" s="226"/>
      <c r="WES70" s="224"/>
      <c r="WET70" s="225"/>
      <c r="WEU70" s="226"/>
      <c r="WEV70" s="227"/>
      <c r="WEW70" s="228"/>
      <c r="WEX70" s="228"/>
      <c r="WEY70" s="228"/>
      <c r="WEZ70" s="228"/>
      <c r="WFA70" s="228"/>
      <c r="WFB70" s="228"/>
      <c r="WFC70" s="226"/>
      <c r="WFD70" s="226"/>
      <c r="WFE70" s="224"/>
      <c r="WFF70" s="225"/>
      <c r="WFG70" s="226"/>
      <c r="WFH70" s="227"/>
      <c r="WFI70" s="228"/>
      <c r="WFJ70" s="228"/>
      <c r="WFK70" s="228"/>
      <c r="WFL70" s="228"/>
      <c r="WFM70" s="228"/>
      <c r="WFN70" s="228"/>
      <c r="WFO70" s="226"/>
      <c r="WFP70" s="226"/>
      <c r="WFQ70" s="224"/>
      <c r="WFR70" s="225"/>
      <c r="WFS70" s="226"/>
      <c r="WFT70" s="227"/>
      <c r="WFU70" s="228"/>
      <c r="WFV70" s="228"/>
      <c r="WFW70" s="228"/>
      <c r="WFX70" s="228"/>
      <c r="WFY70" s="228"/>
      <c r="WFZ70" s="228"/>
      <c r="WGA70" s="226"/>
      <c r="WGB70" s="226"/>
      <c r="WGC70" s="224"/>
      <c r="WGD70" s="225"/>
      <c r="WGE70" s="226"/>
      <c r="WGF70" s="227"/>
      <c r="WGG70" s="228"/>
      <c r="WGH70" s="228"/>
      <c r="WGI70" s="228"/>
      <c r="WGJ70" s="228"/>
      <c r="WGK70" s="228"/>
      <c r="WGL70" s="228"/>
      <c r="WGM70" s="226"/>
      <c r="WGN70" s="226"/>
      <c r="WGO70" s="224"/>
      <c r="WGP70" s="225"/>
      <c r="WGQ70" s="226"/>
      <c r="WGR70" s="227"/>
      <c r="WGS70" s="228"/>
      <c r="WGT70" s="228"/>
      <c r="WGU70" s="228"/>
      <c r="WGV70" s="228"/>
      <c r="WGW70" s="228"/>
      <c r="WGX70" s="228"/>
      <c r="WGY70" s="226"/>
      <c r="WGZ70" s="226"/>
      <c r="WHA70" s="224"/>
      <c r="WHB70" s="225"/>
      <c r="WHC70" s="226"/>
      <c r="WHD70" s="227"/>
      <c r="WHE70" s="228"/>
      <c r="WHF70" s="228"/>
      <c r="WHG70" s="228"/>
      <c r="WHH70" s="228"/>
      <c r="WHI70" s="228"/>
      <c r="WHJ70" s="228"/>
      <c r="WHK70" s="226"/>
      <c r="WHL70" s="226"/>
      <c r="WHM70" s="224"/>
      <c r="WHN70" s="225"/>
      <c r="WHO70" s="226"/>
      <c r="WHP70" s="227"/>
      <c r="WHQ70" s="228"/>
      <c r="WHR70" s="228"/>
      <c r="WHS70" s="228"/>
      <c r="WHT70" s="228"/>
      <c r="WHU70" s="228"/>
      <c r="WHV70" s="228"/>
      <c r="WHW70" s="226"/>
      <c r="WHX70" s="226"/>
      <c r="WHY70" s="224"/>
      <c r="WHZ70" s="225"/>
      <c r="WIA70" s="226"/>
      <c r="WIB70" s="227"/>
      <c r="WIC70" s="228"/>
      <c r="WID70" s="228"/>
      <c r="WIE70" s="228"/>
      <c r="WIF70" s="228"/>
      <c r="WIG70" s="228"/>
      <c r="WIH70" s="228"/>
      <c r="WII70" s="226"/>
      <c r="WIJ70" s="226"/>
      <c r="WIK70" s="224"/>
      <c r="WIL70" s="225"/>
      <c r="WIM70" s="226"/>
      <c r="WIN70" s="227"/>
      <c r="WIO70" s="228"/>
      <c r="WIP70" s="228"/>
      <c r="WIQ70" s="228"/>
      <c r="WIR70" s="228"/>
      <c r="WIS70" s="228"/>
      <c r="WIT70" s="228"/>
      <c r="WIU70" s="226"/>
      <c r="WIV70" s="226"/>
      <c r="WIW70" s="224"/>
      <c r="WIX70" s="225"/>
      <c r="WIY70" s="226"/>
      <c r="WIZ70" s="227"/>
      <c r="WJA70" s="228"/>
      <c r="WJB70" s="228"/>
      <c r="WJC70" s="228"/>
      <c r="WJD70" s="228"/>
      <c r="WJE70" s="228"/>
      <c r="WJF70" s="228"/>
      <c r="WJG70" s="226"/>
      <c r="WJH70" s="226"/>
      <c r="WJI70" s="224"/>
      <c r="WJJ70" s="225"/>
      <c r="WJK70" s="226"/>
      <c r="WJL70" s="227"/>
      <c r="WJM70" s="228"/>
      <c r="WJN70" s="228"/>
      <c r="WJO70" s="228"/>
      <c r="WJP70" s="228"/>
      <c r="WJQ70" s="228"/>
      <c r="WJR70" s="228"/>
      <c r="WJS70" s="226"/>
      <c r="WJT70" s="226"/>
      <c r="WJU70" s="224"/>
      <c r="WJV70" s="225"/>
      <c r="WJW70" s="226"/>
      <c r="WJX70" s="227"/>
      <c r="WJY70" s="228"/>
      <c r="WJZ70" s="228"/>
      <c r="WKA70" s="228"/>
      <c r="WKB70" s="228"/>
      <c r="WKC70" s="228"/>
      <c r="WKD70" s="228"/>
      <c r="WKE70" s="226"/>
      <c r="WKF70" s="226"/>
      <c r="WKG70" s="224"/>
      <c r="WKH70" s="225"/>
      <c r="WKI70" s="226"/>
      <c r="WKJ70" s="227"/>
      <c r="WKK70" s="228"/>
      <c r="WKL70" s="228"/>
      <c r="WKM70" s="228"/>
      <c r="WKN70" s="228"/>
      <c r="WKO70" s="228"/>
      <c r="WKP70" s="228"/>
      <c r="WKQ70" s="226"/>
      <c r="WKR70" s="226"/>
      <c r="WKS70" s="224"/>
      <c r="WKT70" s="225"/>
      <c r="WKU70" s="226"/>
      <c r="WKV70" s="227"/>
      <c r="WKW70" s="228"/>
      <c r="WKX70" s="228"/>
      <c r="WKY70" s="228"/>
      <c r="WKZ70" s="228"/>
      <c r="WLA70" s="228"/>
      <c r="WLB70" s="228"/>
      <c r="WLC70" s="226"/>
      <c r="WLD70" s="226"/>
      <c r="WLE70" s="224"/>
      <c r="WLF70" s="225"/>
      <c r="WLG70" s="226"/>
      <c r="WLH70" s="227"/>
      <c r="WLI70" s="228"/>
      <c r="WLJ70" s="228"/>
      <c r="WLK70" s="228"/>
      <c r="WLL70" s="228"/>
      <c r="WLM70" s="228"/>
      <c r="WLN70" s="228"/>
      <c r="WLO70" s="226"/>
      <c r="WLP70" s="226"/>
      <c r="WLQ70" s="224"/>
      <c r="WLR70" s="225"/>
      <c r="WLS70" s="226"/>
      <c r="WLT70" s="227"/>
      <c r="WLU70" s="228"/>
      <c r="WLV70" s="228"/>
      <c r="WLW70" s="228"/>
      <c r="WLX70" s="228"/>
      <c r="WLY70" s="228"/>
      <c r="WLZ70" s="228"/>
      <c r="WMA70" s="226"/>
      <c r="WMB70" s="226"/>
      <c r="WMC70" s="224"/>
      <c r="WMD70" s="225"/>
      <c r="WME70" s="226"/>
      <c r="WMF70" s="227"/>
      <c r="WMG70" s="228"/>
      <c r="WMH70" s="228"/>
      <c r="WMI70" s="228"/>
      <c r="WMJ70" s="228"/>
      <c r="WMK70" s="228"/>
      <c r="WML70" s="228"/>
      <c r="WMM70" s="226"/>
      <c r="WMN70" s="226"/>
      <c r="WMO70" s="224"/>
      <c r="WMP70" s="225"/>
      <c r="WMQ70" s="226"/>
      <c r="WMR70" s="227"/>
      <c r="WMS70" s="228"/>
      <c r="WMT70" s="228"/>
      <c r="WMU70" s="228"/>
      <c r="WMV70" s="228"/>
      <c r="WMW70" s="228"/>
      <c r="WMX70" s="228"/>
      <c r="WMY70" s="226"/>
      <c r="WMZ70" s="226"/>
      <c r="WNA70" s="224"/>
      <c r="WNB70" s="225"/>
      <c r="WNC70" s="226"/>
      <c r="WND70" s="227"/>
      <c r="WNE70" s="228"/>
      <c r="WNF70" s="228"/>
      <c r="WNG70" s="228"/>
      <c r="WNH70" s="228"/>
      <c r="WNI70" s="228"/>
      <c r="WNJ70" s="228"/>
      <c r="WNK70" s="226"/>
      <c r="WNL70" s="226"/>
      <c r="WNM70" s="224"/>
      <c r="WNN70" s="225"/>
      <c r="WNO70" s="226"/>
      <c r="WNP70" s="227"/>
      <c r="WNQ70" s="228"/>
      <c r="WNR70" s="228"/>
      <c r="WNS70" s="228"/>
      <c r="WNT70" s="228"/>
      <c r="WNU70" s="228"/>
      <c r="WNV70" s="228"/>
      <c r="WNW70" s="226"/>
      <c r="WNX70" s="226"/>
      <c r="WNY70" s="224"/>
      <c r="WNZ70" s="225"/>
      <c r="WOA70" s="226"/>
      <c r="WOB70" s="227"/>
      <c r="WOC70" s="228"/>
      <c r="WOD70" s="228"/>
      <c r="WOE70" s="228"/>
      <c r="WOF70" s="228"/>
      <c r="WOG70" s="228"/>
      <c r="WOH70" s="228"/>
      <c r="WOI70" s="226"/>
      <c r="WOJ70" s="226"/>
      <c r="WOK70" s="224"/>
      <c r="WOL70" s="225"/>
      <c r="WOM70" s="226"/>
      <c r="WON70" s="227"/>
      <c r="WOO70" s="228"/>
      <c r="WOP70" s="228"/>
      <c r="WOQ70" s="228"/>
      <c r="WOR70" s="228"/>
      <c r="WOS70" s="228"/>
      <c r="WOT70" s="228"/>
      <c r="WOU70" s="226"/>
      <c r="WOV70" s="226"/>
      <c r="WOW70" s="224"/>
      <c r="WOX70" s="225"/>
      <c r="WOY70" s="226"/>
      <c r="WOZ70" s="227"/>
      <c r="WPA70" s="228"/>
      <c r="WPB70" s="228"/>
      <c r="WPC70" s="228"/>
      <c r="WPD70" s="228"/>
      <c r="WPE70" s="228"/>
      <c r="WPF70" s="228"/>
      <c r="WPG70" s="226"/>
      <c r="WPH70" s="226"/>
      <c r="WPI70" s="224"/>
      <c r="WPJ70" s="225"/>
      <c r="WPK70" s="226"/>
      <c r="WPL70" s="227"/>
      <c r="WPM70" s="228"/>
      <c r="WPN70" s="228"/>
      <c r="WPO70" s="228"/>
      <c r="WPP70" s="228"/>
      <c r="WPQ70" s="228"/>
      <c r="WPR70" s="228"/>
      <c r="WPS70" s="226"/>
      <c r="WPT70" s="226"/>
      <c r="WPU70" s="224"/>
      <c r="WPV70" s="225"/>
      <c r="WPW70" s="226"/>
      <c r="WPX70" s="227"/>
      <c r="WPY70" s="228"/>
      <c r="WPZ70" s="228"/>
      <c r="WQA70" s="228"/>
      <c r="WQB70" s="228"/>
      <c r="WQC70" s="228"/>
      <c r="WQD70" s="228"/>
      <c r="WQE70" s="226"/>
      <c r="WQF70" s="226"/>
      <c r="WQG70" s="224"/>
      <c r="WQH70" s="225"/>
      <c r="WQI70" s="226"/>
      <c r="WQJ70" s="227"/>
      <c r="WQK70" s="228"/>
      <c r="WQL70" s="228"/>
      <c r="WQM70" s="228"/>
      <c r="WQN70" s="228"/>
      <c r="WQO70" s="228"/>
      <c r="WQP70" s="228"/>
      <c r="WQQ70" s="226"/>
      <c r="WQR70" s="226"/>
      <c r="WQS70" s="224"/>
      <c r="WQT70" s="225"/>
      <c r="WQU70" s="226"/>
      <c r="WQV70" s="227"/>
      <c r="WQW70" s="228"/>
      <c r="WQX70" s="228"/>
      <c r="WQY70" s="228"/>
      <c r="WQZ70" s="228"/>
      <c r="WRA70" s="228"/>
      <c r="WRB70" s="228"/>
      <c r="WRC70" s="226"/>
      <c r="WRD70" s="226"/>
      <c r="WRE70" s="224"/>
      <c r="WRF70" s="225"/>
      <c r="WRG70" s="226"/>
      <c r="WRH70" s="227"/>
      <c r="WRI70" s="228"/>
      <c r="WRJ70" s="228"/>
      <c r="WRK70" s="228"/>
      <c r="WRL70" s="228"/>
      <c r="WRM70" s="228"/>
      <c r="WRN70" s="228"/>
      <c r="WRO70" s="226"/>
      <c r="WRP70" s="226"/>
      <c r="WRQ70" s="224"/>
      <c r="WRR70" s="225"/>
      <c r="WRS70" s="226"/>
      <c r="WRT70" s="227"/>
      <c r="WRU70" s="228"/>
      <c r="WRV70" s="228"/>
      <c r="WRW70" s="228"/>
      <c r="WRX70" s="228"/>
      <c r="WRY70" s="228"/>
      <c r="WRZ70" s="228"/>
      <c r="WSA70" s="226"/>
      <c r="WSB70" s="226"/>
      <c r="WSC70" s="224"/>
      <c r="WSD70" s="225"/>
      <c r="WSE70" s="226"/>
      <c r="WSF70" s="227"/>
      <c r="WSG70" s="228"/>
      <c r="WSH70" s="228"/>
      <c r="WSI70" s="228"/>
      <c r="WSJ70" s="228"/>
      <c r="WSK70" s="228"/>
      <c r="WSL70" s="228"/>
      <c r="WSM70" s="226"/>
      <c r="WSN70" s="226"/>
      <c r="WSO70" s="224"/>
      <c r="WSP70" s="225"/>
      <c r="WSQ70" s="226"/>
      <c r="WSR70" s="227"/>
      <c r="WSS70" s="228"/>
      <c r="WST70" s="228"/>
      <c r="WSU70" s="228"/>
      <c r="WSV70" s="228"/>
      <c r="WSW70" s="228"/>
      <c r="WSX70" s="228"/>
      <c r="WSY70" s="226"/>
      <c r="WSZ70" s="226"/>
      <c r="WTA70" s="224"/>
      <c r="WTB70" s="225"/>
      <c r="WTC70" s="226"/>
      <c r="WTD70" s="227"/>
      <c r="WTE70" s="228"/>
      <c r="WTF70" s="228"/>
      <c r="WTG70" s="228"/>
      <c r="WTH70" s="228"/>
      <c r="WTI70" s="228"/>
      <c r="WTJ70" s="228"/>
      <c r="WTK70" s="226"/>
      <c r="WTL70" s="226"/>
      <c r="WTM70" s="224"/>
      <c r="WTN70" s="225"/>
      <c r="WTO70" s="226"/>
      <c r="WTP70" s="227"/>
      <c r="WTQ70" s="228"/>
      <c r="WTR70" s="228"/>
      <c r="WTS70" s="228"/>
      <c r="WTT70" s="228"/>
      <c r="WTU70" s="228"/>
      <c r="WTV70" s="228"/>
      <c r="WTW70" s="226"/>
      <c r="WTX70" s="226"/>
      <c r="WTY70" s="224"/>
      <c r="WTZ70" s="225"/>
      <c r="WUA70" s="226"/>
      <c r="WUB70" s="227"/>
      <c r="WUC70" s="228"/>
      <c r="WUD70" s="228"/>
      <c r="WUE70" s="228"/>
      <c r="WUF70" s="228"/>
      <c r="WUG70" s="228"/>
      <c r="WUH70" s="228"/>
      <c r="WUI70" s="226"/>
      <c r="WUJ70" s="226"/>
      <c r="WUK70" s="224"/>
      <c r="WUL70" s="225"/>
      <c r="WUM70" s="226"/>
      <c r="WUN70" s="227"/>
      <c r="WUO70" s="228"/>
      <c r="WUP70" s="228"/>
      <c r="WUQ70" s="228"/>
      <c r="WUR70" s="228"/>
      <c r="WUS70" s="228"/>
      <c r="WUT70" s="228"/>
      <c r="WUU70" s="226"/>
      <c r="WUV70" s="226"/>
      <c r="WUW70" s="224"/>
      <c r="WUX70" s="225"/>
      <c r="WUY70" s="226"/>
      <c r="WUZ70" s="227"/>
      <c r="WVA70" s="228"/>
      <c r="WVB70" s="228"/>
      <c r="WVC70" s="228"/>
      <c r="WVD70" s="228"/>
      <c r="WVE70" s="228"/>
      <c r="WVF70" s="228"/>
      <c r="WVG70" s="226"/>
      <c r="WVH70" s="226"/>
      <c r="WVI70" s="224"/>
      <c r="WVJ70" s="225"/>
      <c r="WVK70" s="226"/>
      <c r="WVL70" s="227"/>
      <c r="WVM70" s="228"/>
      <c r="WVN70" s="228"/>
      <c r="WVO70" s="228"/>
      <c r="WVP70" s="228"/>
      <c r="WVQ70" s="228"/>
      <c r="WVR70" s="228"/>
      <c r="WVS70" s="226"/>
      <c r="WVT70" s="226"/>
      <c r="WVU70" s="224"/>
      <c r="WVV70" s="225"/>
      <c r="WVW70" s="226"/>
      <c r="WVX70" s="227"/>
      <c r="WVY70" s="228"/>
      <c r="WVZ70" s="228"/>
      <c r="WWA70" s="228"/>
      <c r="WWB70" s="228"/>
      <c r="WWC70" s="228"/>
      <c r="WWD70" s="228"/>
      <c r="WWE70" s="226"/>
      <c r="WWF70" s="226"/>
      <c r="WWG70" s="224"/>
      <c r="WWH70" s="225"/>
      <c r="WWI70" s="226"/>
      <c r="WWJ70" s="227"/>
      <c r="WWK70" s="228"/>
      <c r="WWL70" s="228"/>
      <c r="WWM70" s="228"/>
      <c r="WWN70" s="228"/>
      <c r="WWO70" s="228"/>
      <c r="WWP70" s="228"/>
      <c r="WWQ70" s="226"/>
      <c r="WWR70" s="226"/>
      <c r="WWS70" s="224"/>
      <c r="WWT70" s="225"/>
      <c r="WWU70" s="226"/>
      <c r="WWV70" s="227"/>
      <c r="WWW70" s="228"/>
      <c r="WWX70" s="228"/>
      <c r="WWY70" s="228"/>
      <c r="WWZ70" s="228"/>
      <c r="WXA70" s="228"/>
      <c r="WXB70" s="228"/>
      <c r="WXC70" s="226"/>
      <c r="WXD70" s="226"/>
      <c r="WXE70" s="224"/>
      <c r="WXF70" s="225"/>
      <c r="WXG70" s="226"/>
      <c r="WXH70" s="227"/>
      <c r="WXI70" s="228"/>
      <c r="WXJ70" s="228"/>
      <c r="WXK70" s="228"/>
      <c r="WXL70" s="228"/>
      <c r="WXM70" s="228"/>
      <c r="WXN70" s="228"/>
      <c r="WXO70" s="226"/>
      <c r="WXP70" s="226"/>
      <c r="WXQ70" s="224"/>
      <c r="WXR70" s="225"/>
      <c r="WXS70" s="226"/>
      <c r="WXT70" s="227"/>
      <c r="WXU70" s="228"/>
      <c r="WXV70" s="228"/>
      <c r="WXW70" s="228"/>
      <c r="WXX70" s="228"/>
      <c r="WXY70" s="228"/>
      <c r="WXZ70" s="228"/>
      <c r="WYA70" s="226"/>
      <c r="WYB70" s="226"/>
      <c r="WYC70" s="224"/>
      <c r="WYD70" s="225"/>
      <c r="WYE70" s="226"/>
      <c r="WYF70" s="227"/>
      <c r="WYG70" s="228"/>
      <c r="WYH70" s="228"/>
      <c r="WYI70" s="228"/>
      <c r="WYJ70" s="228"/>
      <c r="WYK70" s="228"/>
      <c r="WYL70" s="228"/>
      <c r="WYM70" s="226"/>
      <c r="WYN70" s="226"/>
      <c r="WYO70" s="224"/>
      <c r="WYP70" s="225"/>
      <c r="WYQ70" s="226"/>
      <c r="WYR70" s="227"/>
      <c r="WYS70" s="228"/>
      <c r="WYT70" s="228"/>
      <c r="WYU70" s="228"/>
      <c r="WYV70" s="228"/>
      <c r="WYW70" s="228"/>
      <c r="WYX70" s="228"/>
      <c r="WYY70" s="226"/>
      <c r="WYZ70" s="226"/>
      <c r="WZA70" s="224"/>
      <c r="WZB70" s="225"/>
      <c r="WZC70" s="226"/>
      <c r="WZD70" s="227"/>
      <c r="WZE70" s="228"/>
      <c r="WZF70" s="228"/>
      <c r="WZG70" s="228"/>
      <c r="WZH70" s="228"/>
      <c r="WZI70" s="228"/>
      <c r="WZJ70" s="228"/>
      <c r="WZK70" s="226"/>
      <c r="WZL70" s="226"/>
      <c r="WZM70" s="224"/>
      <c r="WZN70" s="225"/>
      <c r="WZO70" s="226"/>
      <c r="WZP70" s="227"/>
      <c r="WZQ70" s="228"/>
      <c r="WZR70" s="228"/>
      <c r="WZS70" s="228"/>
      <c r="WZT70" s="228"/>
      <c r="WZU70" s="228"/>
      <c r="WZV70" s="228"/>
      <c r="WZW70" s="226"/>
      <c r="WZX70" s="226"/>
      <c r="WZY70" s="224"/>
      <c r="WZZ70" s="225"/>
      <c r="XAA70" s="226"/>
      <c r="XAB70" s="227"/>
      <c r="XAC70" s="228"/>
      <c r="XAD70" s="228"/>
      <c r="XAE70" s="228"/>
      <c r="XAF70" s="228"/>
      <c r="XAG70" s="228"/>
      <c r="XAH70" s="228"/>
      <c r="XAI70" s="226"/>
      <c r="XAJ70" s="226"/>
      <c r="XAK70" s="224"/>
      <c r="XAL70" s="225"/>
      <c r="XAM70" s="226"/>
      <c r="XAN70" s="227"/>
      <c r="XAO70" s="228"/>
      <c r="XAP70" s="228"/>
      <c r="XAQ70" s="228"/>
      <c r="XAR70" s="228"/>
      <c r="XAS70" s="228"/>
      <c r="XAT70" s="228"/>
      <c r="XAU70" s="226"/>
      <c r="XAV70" s="226"/>
      <c r="XAW70" s="224"/>
      <c r="XAX70" s="225"/>
      <c r="XAY70" s="226"/>
      <c r="XAZ70" s="227"/>
      <c r="XBA70" s="228"/>
      <c r="XBB70" s="228"/>
      <c r="XBC70" s="228"/>
      <c r="XBD70" s="228"/>
      <c r="XBE70" s="228"/>
      <c r="XBF70" s="228"/>
      <c r="XBG70" s="226"/>
      <c r="XBH70" s="226"/>
      <c r="XBI70" s="224"/>
      <c r="XBJ70" s="225"/>
      <c r="XBK70" s="226"/>
      <c r="XBL70" s="227"/>
      <c r="XBM70" s="228"/>
      <c r="XBN70" s="228"/>
      <c r="XBO70" s="228"/>
      <c r="XBP70" s="228"/>
      <c r="XBQ70" s="228"/>
      <c r="XBR70" s="228"/>
      <c r="XBS70" s="226"/>
      <c r="XBT70" s="226"/>
      <c r="XBU70" s="224"/>
      <c r="XBV70" s="225"/>
      <c r="XBW70" s="226"/>
      <c r="XBX70" s="227"/>
      <c r="XBY70" s="228"/>
      <c r="XBZ70" s="228"/>
      <c r="XCA70" s="228"/>
      <c r="XCB70" s="228"/>
      <c r="XCC70" s="228"/>
      <c r="XCD70" s="228"/>
      <c r="XCE70" s="226"/>
      <c r="XCF70" s="226"/>
      <c r="XCG70" s="224"/>
      <c r="XCH70" s="225"/>
      <c r="XCI70" s="226"/>
      <c r="XCJ70" s="227"/>
      <c r="XCK70" s="228"/>
      <c r="XCL70" s="228"/>
      <c r="XCM70" s="228"/>
      <c r="XCN70" s="228"/>
      <c r="XCO70" s="228"/>
      <c r="XCP70" s="228"/>
      <c r="XCQ70" s="226"/>
      <c r="XCR70" s="226"/>
      <c r="XCS70" s="224"/>
      <c r="XCT70" s="225"/>
      <c r="XCU70" s="226"/>
      <c r="XCV70" s="227"/>
      <c r="XCW70" s="228"/>
      <c r="XCX70" s="228"/>
      <c r="XCY70" s="228"/>
      <c r="XCZ70" s="228"/>
      <c r="XDA70" s="228"/>
      <c r="XDB70" s="228"/>
      <c r="XDC70" s="226"/>
      <c r="XDD70" s="226"/>
      <c r="XDE70" s="224"/>
      <c r="XDF70" s="225"/>
      <c r="XDG70" s="226"/>
      <c r="XDH70" s="227"/>
      <c r="XDI70" s="228"/>
      <c r="XDJ70" s="228"/>
      <c r="XDK70" s="228"/>
      <c r="XDL70" s="228"/>
      <c r="XDM70" s="228"/>
      <c r="XDN70" s="228"/>
      <c r="XDO70" s="226"/>
      <c r="XDP70" s="226"/>
      <c r="XDQ70" s="224"/>
      <c r="XDR70" s="225"/>
      <c r="XDS70" s="226"/>
      <c r="XDT70" s="227"/>
      <c r="XDU70" s="228"/>
      <c r="XDV70" s="228"/>
      <c r="XDW70" s="228"/>
      <c r="XDX70" s="228"/>
      <c r="XDY70" s="228"/>
      <c r="XDZ70" s="228"/>
      <c r="XEA70" s="226"/>
      <c r="XEB70" s="226"/>
      <c r="XEC70" s="224"/>
      <c r="XED70" s="225"/>
      <c r="XEE70" s="226"/>
      <c r="XEF70" s="227"/>
      <c r="XEG70" s="228"/>
      <c r="XEH70" s="228"/>
      <c r="XEI70" s="228"/>
      <c r="XEJ70" s="228"/>
      <c r="XEK70" s="228"/>
      <c r="XEL70" s="228"/>
      <c r="XEM70" s="226"/>
      <c r="XEN70" s="226"/>
      <c r="XEO70" s="224"/>
      <c r="XEP70" s="225"/>
      <c r="XEQ70" s="226"/>
      <c r="XER70" s="227"/>
      <c r="XES70" s="228"/>
      <c r="XET70" s="228"/>
      <c r="XEU70" s="228"/>
      <c r="XEV70" s="228"/>
      <c r="XEW70" s="228"/>
      <c r="XEX70" s="228"/>
      <c r="XEY70" s="226"/>
      <c r="XEZ70" s="226"/>
      <c r="XFA70" s="224"/>
      <c r="XFB70" s="225"/>
      <c r="XFC70" s="226"/>
      <c r="XFD70" s="227"/>
    </row>
    <row r="71" spans="1:16384" customFormat="1">
      <c r="L71" s="149"/>
      <c r="N71" s="247"/>
      <c r="P71" s="370"/>
      <c r="Q71" s="370"/>
      <c r="R71" s="370"/>
      <c r="S71" s="370"/>
      <c r="T71" s="370"/>
      <c r="U71" s="370"/>
      <c r="V71" s="370"/>
      <c r="W71" s="370"/>
    </row>
    <row r="72" spans="1:16384" customFormat="1">
      <c r="L72" s="149"/>
      <c r="N72" s="247"/>
      <c r="P72" s="370"/>
      <c r="Q72" s="370"/>
      <c r="R72" s="370"/>
      <c r="S72" s="370"/>
      <c r="T72" s="370"/>
      <c r="U72" s="370"/>
      <c r="V72" s="370"/>
      <c r="W72" s="370"/>
    </row>
    <row r="73" spans="1:16384" customFormat="1">
      <c r="L73" s="149"/>
      <c r="N73" s="247"/>
    </row>
  </sheetData>
  <sortState xmlns:xlrd2="http://schemas.microsoft.com/office/spreadsheetml/2017/richdata2" ref="A2:L55">
    <sortCondition ref="B2:B55"/>
    <sortCondition ref="A2:A55"/>
  </sortState>
  <pageMargins left="0.7" right="0.7" top="0.75" bottom="0.75" header="0.3" footer="0.3"/>
  <pageSetup scale="72" fitToHeight="2" orientation="landscape" r:id="rId1"/>
  <headerFooter>
    <oddHeader xml:space="preserve">&amp;CDRAFT NOT FOR DISTRIBUTION, INTERNAL USE ONLY
</oddHeader>
  </headerFooter>
  <rowBreaks count="1" manualBreakCount="1">
    <brk id="4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V50"/>
  <sheetViews>
    <sheetView zoomScaleNormal="100" workbookViewId="0"/>
  </sheetViews>
  <sheetFormatPr defaultColWidth="8.81640625" defaultRowHeight="14.5"/>
  <cols>
    <col min="1" max="1" width="57.26953125" style="314" customWidth="1"/>
    <col min="2" max="2" width="7.453125" style="314" customWidth="1"/>
    <col min="3" max="4" width="9.81640625" style="314" customWidth="1"/>
    <col min="5" max="5" width="10.26953125" style="314" bestFit="1" customWidth="1"/>
    <col min="6" max="6" width="10.81640625" style="314" customWidth="1"/>
    <col min="7" max="7" width="11.1796875" style="314" customWidth="1"/>
    <col min="8" max="8" width="10" style="314" customWidth="1"/>
    <col min="9" max="9" width="10" style="314" bestFit="1" customWidth="1"/>
    <col min="10" max="10" width="10" style="314" customWidth="1"/>
    <col min="11" max="12" width="10.453125" style="314" bestFit="1" customWidth="1"/>
    <col min="13" max="13" width="10.81640625" style="314" customWidth="1"/>
    <col min="14" max="14" width="10.26953125" style="247" customWidth="1"/>
    <col min="15" max="15" width="10" style="314" bestFit="1" customWidth="1"/>
    <col min="16" max="16" width="10.54296875" style="314" customWidth="1"/>
    <col min="17" max="17" width="10.1796875" style="314" customWidth="1"/>
    <col min="18" max="18" width="9.90625" style="314" customWidth="1"/>
    <col min="19" max="16384" width="8.81640625" style="314"/>
  </cols>
  <sheetData>
    <row r="1" spans="1:16" ht="18.5">
      <c r="A1" s="317" t="s">
        <v>163</v>
      </c>
      <c r="B1" s="316"/>
      <c r="C1" s="316"/>
      <c r="D1" s="316"/>
      <c r="E1" s="316"/>
      <c r="F1" s="316"/>
      <c r="G1" s="316"/>
      <c r="H1" s="316"/>
      <c r="I1" s="316"/>
      <c r="J1" s="316"/>
      <c r="K1" s="316"/>
      <c r="L1" s="316"/>
      <c r="M1" s="411" t="s">
        <v>164</v>
      </c>
      <c r="N1" s="252"/>
      <c r="O1" s="370"/>
      <c r="P1" s="370"/>
    </row>
    <row r="2" spans="1:16" ht="39.5">
      <c r="A2" s="110" t="s">
        <v>165</v>
      </c>
      <c r="B2" s="1" t="s">
        <v>116</v>
      </c>
      <c r="C2" s="2" t="s">
        <v>953</v>
      </c>
      <c r="D2" s="106" t="s">
        <v>1006</v>
      </c>
      <c r="E2" s="105" t="s">
        <v>0</v>
      </c>
      <c r="F2" s="1" t="s">
        <v>1</v>
      </c>
      <c r="G2" s="1" t="s">
        <v>2</v>
      </c>
      <c r="H2" s="1" t="s">
        <v>3</v>
      </c>
      <c r="I2" s="1" t="s">
        <v>4</v>
      </c>
      <c r="J2" s="1" t="s">
        <v>26</v>
      </c>
      <c r="K2" s="1" t="s">
        <v>5</v>
      </c>
      <c r="L2" s="229" t="s">
        <v>117</v>
      </c>
      <c r="M2" s="411"/>
      <c r="N2" s="252"/>
      <c r="O2" s="370"/>
      <c r="P2" s="370"/>
    </row>
    <row r="3" spans="1:16">
      <c r="A3" s="140" t="s">
        <v>166</v>
      </c>
      <c r="B3" s="121" t="s">
        <v>128</v>
      </c>
      <c r="C3" s="268">
        <f>'AGOL Collector'!E45</f>
        <v>875</v>
      </c>
      <c r="D3" s="543">
        <f>'AGOL Collector'!F45</f>
        <v>1034</v>
      </c>
      <c r="E3" s="122">
        <f>'AGOL Collector'!G44</f>
        <v>0</v>
      </c>
      <c r="F3" s="122">
        <f>'AGOL Collector'!H44</f>
        <v>0</v>
      </c>
      <c r="G3" s="122">
        <f>'AGOL Collector'!I44</f>
        <v>0</v>
      </c>
      <c r="H3" s="122">
        <f>'AGOL Collector'!J44-'AGOL Collector'!B47</f>
        <v>1034</v>
      </c>
      <c r="I3" s="268">
        <f>'AGOL Collector'!K44</f>
        <v>0</v>
      </c>
      <c r="J3" s="268">
        <f>'AGOL Collector'!L44</f>
        <v>0</v>
      </c>
      <c r="K3" s="136">
        <f>SUM(E3:J3)</f>
        <v>1034</v>
      </c>
      <c r="L3" s="228">
        <f>(K3*-$M$2)+K3</f>
        <v>1034</v>
      </c>
      <c r="M3" s="222"/>
      <c r="N3" s="381"/>
      <c r="O3" s="29"/>
      <c r="P3" s="29"/>
    </row>
    <row r="4" spans="1:16">
      <c r="A4" s="140" t="s">
        <v>167</v>
      </c>
      <c r="B4" s="121" t="s">
        <v>128</v>
      </c>
      <c r="C4" s="268">
        <f>CROS!E37</f>
        <v>0</v>
      </c>
      <c r="D4" s="543">
        <f>CROS!F37</f>
        <v>0</v>
      </c>
      <c r="E4" s="122">
        <f>CROS!G37</f>
        <v>0</v>
      </c>
      <c r="F4" s="122">
        <f>CROS!H37</f>
        <v>0</v>
      </c>
      <c r="G4" s="122">
        <f>CROS!I37</f>
        <v>0</v>
      </c>
      <c r="H4" s="122">
        <f>CROS!J37</f>
        <v>0</v>
      </c>
      <c r="I4" s="268">
        <f>CROS!K37</f>
        <v>0</v>
      </c>
      <c r="J4" s="268">
        <f>CROS!L37</f>
        <v>0</v>
      </c>
      <c r="K4" s="136">
        <f>SUM(E4:J4)</f>
        <v>0</v>
      </c>
      <c r="L4" s="228">
        <f t="shared" ref="L4:L11" si="0">(K4*-$M$2)+K4</f>
        <v>0</v>
      </c>
      <c r="M4" s="222"/>
      <c r="N4" s="381"/>
      <c r="O4" s="29"/>
      <c r="P4" s="29"/>
    </row>
    <row r="5" spans="1:16">
      <c r="A5" s="140" t="s">
        <v>168</v>
      </c>
      <c r="B5" s="180" t="s">
        <v>128</v>
      </c>
      <c r="C5" s="268">
        <f>CAD!E46</f>
        <v>1807</v>
      </c>
      <c r="D5" s="543">
        <f>CAD!F46</f>
        <v>1467</v>
      </c>
      <c r="E5" s="122">
        <f>CAD!G45</f>
        <v>0</v>
      </c>
      <c r="F5" s="122">
        <f>CAD!H45</f>
        <v>0</v>
      </c>
      <c r="G5" s="122">
        <f>CAD!I45</f>
        <v>0</v>
      </c>
      <c r="H5" s="122">
        <f>CAD!J45</f>
        <v>0</v>
      </c>
      <c r="I5" s="122">
        <f>CAD!K45-CAD!B52</f>
        <v>1435</v>
      </c>
      <c r="J5" s="122">
        <f>CAD!L45</f>
        <v>32</v>
      </c>
      <c r="K5" s="136">
        <f>SUM(E5:J5)</f>
        <v>1467</v>
      </c>
      <c r="L5" s="228">
        <f>(K5*-$M$2)+K5</f>
        <v>1467</v>
      </c>
      <c r="M5" s="222"/>
      <c r="N5" s="381"/>
      <c r="O5" s="29"/>
      <c r="P5" s="29"/>
    </row>
    <row r="6" spans="1:16">
      <c r="A6" s="140" t="s">
        <v>169</v>
      </c>
      <c r="B6" s="121" t="s">
        <v>128</v>
      </c>
      <c r="C6" s="268">
        <f>FireCode!E40</f>
        <v>245</v>
      </c>
      <c r="D6" s="543">
        <f>FireCode!F40</f>
        <v>232</v>
      </c>
      <c r="E6" s="122">
        <f>FireCode!G40</f>
        <v>0</v>
      </c>
      <c r="F6" s="122">
        <f>FireCode!H40</f>
        <v>232</v>
      </c>
      <c r="G6" s="122">
        <f>FireCode!I40</f>
        <v>0</v>
      </c>
      <c r="H6" s="122">
        <f>FireCode!J40</f>
        <v>0</v>
      </c>
      <c r="I6" s="268">
        <f>FireCode!K40</f>
        <v>0</v>
      </c>
      <c r="J6" s="268">
        <f>FireCode!L40</f>
        <v>0</v>
      </c>
      <c r="K6" s="136">
        <f t="shared" ref="K6:K19" si="1">SUM(E6:J6)</f>
        <v>232</v>
      </c>
      <c r="L6" s="228">
        <f t="shared" si="0"/>
        <v>232</v>
      </c>
      <c r="M6" s="222"/>
      <c r="N6" s="381"/>
      <c r="O6" s="29"/>
      <c r="P6" s="29"/>
    </row>
    <row r="7" spans="1:16">
      <c r="A7" s="140" t="s">
        <v>170</v>
      </c>
      <c r="B7" s="121" t="s">
        <v>128</v>
      </c>
      <c r="C7" s="268">
        <f>+FIRENET!E43</f>
        <v>1432</v>
      </c>
      <c r="D7" s="543">
        <f>FIRENET!F43</f>
        <v>1107</v>
      </c>
      <c r="E7" s="122">
        <f>FIRENET!G42</f>
        <v>0</v>
      </c>
      <c r="F7" s="122">
        <f>FIRENET!H42</f>
        <v>0</v>
      </c>
      <c r="G7" s="122">
        <f>FIRENET!I42</f>
        <v>0</v>
      </c>
      <c r="H7" s="122">
        <f>FIRENET!J42</f>
        <v>0</v>
      </c>
      <c r="I7" s="122">
        <f>FIRENET!F43</f>
        <v>1107</v>
      </c>
      <c r="J7" s="122">
        <v>0</v>
      </c>
      <c r="K7" s="136">
        <f>SUM(E7:J7)</f>
        <v>1107</v>
      </c>
      <c r="L7" s="228">
        <f t="shared" si="0"/>
        <v>1107</v>
      </c>
      <c r="M7" s="222"/>
      <c r="N7" s="381"/>
      <c r="O7" s="29"/>
      <c r="P7" s="29"/>
    </row>
    <row r="8" spans="1:16" ht="29">
      <c r="A8" s="446" t="s">
        <v>171</v>
      </c>
      <c r="B8" s="121" t="s">
        <v>128</v>
      </c>
      <c r="C8" s="268">
        <f>'FxNET-AWIPSII'!E43</f>
        <v>66</v>
      </c>
      <c r="D8" s="543">
        <f>'FxNET-AWIPSII'!F43</f>
        <v>56.900000000000006</v>
      </c>
      <c r="E8" s="122">
        <f>'FxNET-AWIPSII'!G42</f>
        <v>0</v>
      </c>
      <c r="F8" s="122">
        <f>'FxNET-AWIPSII'!H42-'FxNET-AWIPSII'!B48</f>
        <v>56.900000000000006</v>
      </c>
      <c r="G8" s="122">
        <f>'FxNET-AWIPSII'!I42</f>
        <v>0</v>
      </c>
      <c r="H8" s="122">
        <f>'FxNET-AWIPSII'!J42</f>
        <v>0</v>
      </c>
      <c r="I8" s="268">
        <f>'FxNET-AWIPSII'!K42</f>
        <v>0</v>
      </c>
      <c r="J8" s="268">
        <f>'FxNET-AWIPSII'!L42</f>
        <v>0</v>
      </c>
      <c r="K8" s="136">
        <f t="shared" si="1"/>
        <v>56.900000000000006</v>
      </c>
      <c r="L8" s="228">
        <f t="shared" si="0"/>
        <v>56.900000000000006</v>
      </c>
      <c r="M8" s="222"/>
      <c r="N8" s="381"/>
      <c r="O8" s="29"/>
      <c r="P8" s="29"/>
    </row>
    <row r="9" spans="1:16" ht="29">
      <c r="A9" s="306" t="s">
        <v>172</v>
      </c>
      <c r="B9" s="121" t="s">
        <v>128</v>
      </c>
      <c r="C9" s="268">
        <f>+IQCS!M50</f>
        <v>1041</v>
      </c>
      <c r="D9" s="543">
        <f>+F9</f>
        <v>1287.5016000000001</v>
      </c>
      <c r="E9" s="122">
        <f>IQCS!G40*'Prep%Fuelspercentage.direct'!$B38</f>
        <v>0</v>
      </c>
      <c r="F9" s="122">
        <f>+IQCS!L44</f>
        <v>1287.5016000000001</v>
      </c>
      <c r="G9" s="122">
        <f>IQCS!I40*'Prep%Fuelspercentage.direct'!$B38</f>
        <v>0</v>
      </c>
      <c r="H9" s="122">
        <f>IQCS!J40*'Prep%Fuelspercentage.direct'!$B38</f>
        <v>0</v>
      </c>
      <c r="I9" s="122">
        <f>IQCS!K40*'Prep%Fuelspercentage.direct'!$B38</f>
        <v>0</v>
      </c>
      <c r="J9" s="122">
        <f>(IQCS!L40-IQCS!F43)*'Prep%Fuelspercentage.direct'!$B38</f>
        <v>0</v>
      </c>
      <c r="K9" s="136">
        <f>SUM(E9:J9)</f>
        <v>1287.5016000000001</v>
      </c>
      <c r="L9" s="228">
        <f>(K9*-$M$2)+K9</f>
        <v>1287.5016000000001</v>
      </c>
      <c r="M9" s="222"/>
      <c r="N9" s="381"/>
      <c r="O9" s="222"/>
      <c r="P9" s="380"/>
    </row>
    <row r="10" spans="1:16">
      <c r="A10" s="140" t="s">
        <v>173</v>
      </c>
      <c r="B10" s="180" t="s">
        <v>128</v>
      </c>
      <c r="C10" s="268">
        <f>+INFORM!K48</f>
        <v>574</v>
      </c>
      <c r="D10" s="543">
        <f>+INFORM!J48</f>
        <v>152</v>
      </c>
      <c r="E10" s="122">
        <f>INFORM!G45</f>
        <v>0</v>
      </c>
      <c r="F10" s="122">
        <v>0</v>
      </c>
      <c r="G10" s="122">
        <f>INFORM!I45</f>
        <v>0</v>
      </c>
      <c r="H10" s="122">
        <f>INFORM!J45</f>
        <v>0</v>
      </c>
      <c r="I10" s="122">
        <f>+D10-240</f>
        <v>-88</v>
      </c>
      <c r="J10" s="122">
        <v>240</v>
      </c>
      <c r="K10" s="136">
        <f>SUM(E10:J10)</f>
        <v>152</v>
      </c>
      <c r="L10" s="228">
        <f>(K10*-$M$2)+K10</f>
        <v>152</v>
      </c>
      <c r="M10" s="222"/>
      <c r="N10" s="381"/>
      <c r="O10" s="29"/>
      <c r="P10" s="29"/>
    </row>
    <row r="11" spans="1:16">
      <c r="A11" s="140" t="s">
        <v>174</v>
      </c>
      <c r="B11" s="121" t="s">
        <v>128</v>
      </c>
      <c r="C11" s="268">
        <f>+IrWIN!E46</f>
        <v>2500</v>
      </c>
      <c r="D11" s="543">
        <f>ROUND(IrWIN!F46,0)</f>
        <v>1833</v>
      </c>
      <c r="E11" s="122">
        <f>IrWIN!G45</f>
        <v>0</v>
      </c>
      <c r="F11" s="122">
        <f>IrWIN!H45</f>
        <v>0</v>
      </c>
      <c r="G11" s="122">
        <f>IrWIN!I45</f>
        <v>0</v>
      </c>
      <c r="H11" s="122">
        <f>IrWIN!J45</f>
        <v>0</v>
      </c>
      <c r="I11" s="268">
        <f>ROUND(IrWIN!K45,0)</f>
        <v>1508</v>
      </c>
      <c r="J11" s="268">
        <f>ROUND((IrWIN!L45),0)</f>
        <v>325</v>
      </c>
      <c r="K11" s="136">
        <f t="shared" si="1"/>
        <v>1833</v>
      </c>
      <c r="L11" s="228">
        <f t="shared" si="0"/>
        <v>1833</v>
      </c>
      <c r="M11" s="222"/>
      <c r="N11" s="381"/>
      <c r="O11" s="29"/>
      <c r="P11" s="29"/>
    </row>
    <row r="12" spans="1:16">
      <c r="A12" s="140" t="s">
        <v>175</v>
      </c>
      <c r="B12" s="121" t="s">
        <v>128</v>
      </c>
      <c r="C12" s="268">
        <f>SAFENET!E40</f>
        <v>44</v>
      </c>
      <c r="D12" s="543">
        <f>SAFENET!F40</f>
        <v>45</v>
      </c>
      <c r="E12" s="122">
        <f>SAFENET!G40</f>
        <v>0</v>
      </c>
      <c r="F12" s="122">
        <f>SAFENET!H40</f>
        <v>45</v>
      </c>
      <c r="G12" s="122">
        <f>SAFENET!I40</f>
        <v>0</v>
      </c>
      <c r="H12" s="122">
        <f>SAFENET!J40</f>
        <v>0</v>
      </c>
      <c r="I12" s="268">
        <f>SAFENET!K40</f>
        <v>0</v>
      </c>
      <c r="J12" s="268">
        <v>0</v>
      </c>
      <c r="K12" s="136">
        <f t="shared" si="1"/>
        <v>45</v>
      </c>
      <c r="L12" s="228">
        <f t="shared" ref="L12:L19" si="2">(K12*-$M$2)+K12</f>
        <v>45</v>
      </c>
      <c r="M12" s="222"/>
      <c r="N12" s="381"/>
      <c r="O12" s="29"/>
      <c r="P12" s="29"/>
    </row>
    <row r="13" spans="1:16" s="370" customFormat="1">
      <c r="A13" s="542" t="s">
        <v>176</v>
      </c>
      <c r="B13" s="370" t="s">
        <v>128</v>
      </c>
      <c r="C13" s="379">
        <f>+'WFIT Data Management'!K53</f>
        <v>117</v>
      </c>
      <c r="D13" s="543">
        <f>+'WFIT Data Management'!J45</f>
        <v>-25.578000000000003</v>
      </c>
      <c r="E13" s="281">
        <f>+'WFIT Data Management'!G39</f>
        <v>0</v>
      </c>
      <c r="F13" s="281">
        <f>+'WFIT Data Management'!H39</f>
        <v>0</v>
      </c>
      <c r="G13" s="281">
        <f>+'WFIT Data Management'!I39</f>
        <v>0</v>
      </c>
      <c r="H13" s="281">
        <f>(+'WFIT Data Management'!J39)</f>
        <v>0</v>
      </c>
      <c r="I13" s="281">
        <f>+'WFIT Data Management'!M45</f>
        <v>64</v>
      </c>
      <c r="J13" s="281">
        <f>+'WFIT Data Management'!K45-'WFIT Data Management'!M45</f>
        <v>-90</v>
      </c>
      <c r="K13" s="136">
        <f>SUM(E13:J13)</f>
        <v>-26</v>
      </c>
      <c r="L13" s="228">
        <f t="shared" si="2"/>
        <v>-26</v>
      </c>
      <c r="M13" s="222"/>
      <c r="N13" s="381"/>
      <c r="O13" s="29"/>
      <c r="P13" s="29"/>
    </row>
    <row r="14" spans="1:16">
      <c r="A14" s="140" t="s">
        <v>177</v>
      </c>
      <c r="B14" s="121" t="s">
        <v>128</v>
      </c>
      <c r="C14" s="268">
        <f>+'WFIT Staff'!K50</f>
        <v>448</v>
      </c>
      <c r="D14" s="543">
        <f>+'WFIT Staff'!J42+'WFIT Staff'!L42</f>
        <v>482</v>
      </c>
      <c r="E14" s="122">
        <f>'WFIT Staff'!G37*'Prep%Fuelspercentage.direct'!$B38</f>
        <v>0</v>
      </c>
      <c r="F14" s="122">
        <f>'WFIT Staff'!H37*'Prep%Fuelspercentage.direct'!$B38</f>
        <v>0</v>
      </c>
      <c r="G14" s="122">
        <f>+'WFIT Staff'!I37</f>
        <v>95</v>
      </c>
      <c r="H14" s="122">
        <f>'WFIT Staff'!J37*'Prep%Fuelspercentage.direct'!$B38</f>
        <v>0</v>
      </c>
      <c r="I14" s="268">
        <f>+D14-G14</f>
        <v>387</v>
      </c>
      <c r="J14" s="122">
        <f>'WFIT Staff'!L37</f>
        <v>0</v>
      </c>
      <c r="K14" s="136">
        <f>SUM(E14:J14)</f>
        <v>482</v>
      </c>
      <c r="L14" s="228">
        <f t="shared" si="2"/>
        <v>482</v>
      </c>
      <c r="M14" s="222"/>
      <c r="N14" s="381"/>
      <c r="O14" s="222"/>
      <c r="P14" s="222"/>
    </row>
    <row r="15" spans="1:16">
      <c r="A15" s="140" t="s">
        <v>178</v>
      </c>
      <c r="B15" s="121" t="s">
        <v>128</v>
      </c>
      <c r="C15" s="268">
        <f>+WFDSS!E40</f>
        <v>663</v>
      </c>
      <c r="D15" s="543">
        <f>WFDSS!F40</f>
        <v>395</v>
      </c>
      <c r="E15" s="122">
        <f>ROUND(WFDSS!G40,0)</f>
        <v>0</v>
      </c>
      <c r="F15" s="122">
        <f>ROUND(WFDSS!H40,0)</f>
        <v>0</v>
      </c>
      <c r="G15" s="122">
        <f>ROUND(WFDSS!I40,0)</f>
        <v>0</v>
      </c>
      <c r="H15" s="122">
        <f>ROUND(WFDSS!J40,0)</f>
        <v>0</v>
      </c>
      <c r="I15" s="122">
        <f>ROUND(WFDSS!K40,0)</f>
        <v>455</v>
      </c>
      <c r="J15" s="122">
        <f>ROUND(WFDSS!L40,0)</f>
        <v>-60</v>
      </c>
      <c r="K15" s="136">
        <f t="shared" si="1"/>
        <v>395</v>
      </c>
      <c r="L15" s="228">
        <f t="shared" si="2"/>
        <v>395</v>
      </c>
      <c r="M15" s="222"/>
      <c r="N15" s="381"/>
      <c r="O15" s="29"/>
      <c r="P15" s="29"/>
    </row>
    <row r="16" spans="1:16">
      <c r="A16" s="140" t="s">
        <v>179</v>
      </c>
      <c r="B16" s="180" t="s">
        <v>128</v>
      </c>
      <c r="C16" s="268">
        <f>'WFMI-Fire Reporting'!E41</f>
        <v>55</v>
      </c>
      <c r="D16" s="543">
        <f>'WFMI-Fire Reporting'!F41</f>
        <v>55</v>
      </c>
      <c r="E16" s="122">
        <f>'WFMI-Fire Reporting'!G41</f>
        <v>0</v>
      </c>
      <c r="F16" s="122">
        <f>'WFMI-Fire Reporting'!H41</f>
        <v>55</v>
      </c>
      <c r="G16" s="122">
        <f>'WFMI-Fire Reporting'!I41</f>
        <v>0</v>
      </c>
      <c r="H16" s="122">
        <f>'WFMI-Fire Reporting'!J41</f>
        <v>0</v>
      </c>
      <c r="I16" s="122">
        <f>'WFMI-Fire Reporting'!K41</f>
        <v>0</v>
      </c>
      <c r="J16" s="122">
        <f>'WFMI-Fire Reporting'!L41</f>
        <v>0</v>
      </c>
      <c r="K16" s="136">
        <f t="shared" si="1"/>
        <v>55</v>
      </c>
      <c r="L16" s="228">
        <f t="shared" si="2"/>
        <v>55</v>
      </c>
      <c r="M16" s="222"/>
      <c r="N16" s="381"/>
      <c r="O16" s="29"/>
      <c r="P16" s="29"/>
    </row>
    <row r="17" spans="1:48" s="370" customFormat="1">
      <c r="A17" s="140" t="s">
        <v>180</v>
      </c>
      <c r="B17" s="180" t="s">
        <v>128</v>
      </c>
      <c r="C17" s="268">
        <f>+'WFMI-Unit ID'!E41</f>
        <v>47</v>
      </c>
      <c r="D17" s="543">
        <f>+'WFMI-Unit ID'!F41</f>
        <v>47</v>
      </c>
      <c r="E17" s="122">
        <f>+'WFMI-Unit ID'!G41</f>
        <v>0</v>
      </c>
      <c r="F17" s="122">
        <f>+'WFMI-Unit ID'!H41</f>
        <v>47</v>
      </c>
      <c r="G17" s="122">
        <f>+'WFMI-Unit ID'!I41</f>
        <v>0</v>
      </c>
      <c r="H17" s="122">
        <f>+'WFMI-Unit ID'!J41</f>
        <v>0</v>
      </c>
      <c r="I17" s="122">
        <f>+'WFMI-Unit ID'!K41</f>
        <v>0</v>
      </c>
      <c r="J17" s="122">
        <f>+'WFMI-Unit ID'!L41</f>
        <v>0</v>
      </c>
      <c r="K17" s="136">
        <f t="shared" si="1"/>
        <v>47</v>
      </c>
      <c r="L17" s="228">
        <f t="shared" si="2"/>
        <v>47</v>
      </c>
      <c r="M17" s="222"/>
      <c r="N17" s="381"/>
      <c r="O17" s="29"/>
      <c r="P17" s="29"/>
    </row>
    <row r="18" spans="1:48" s="370" customFormat="1">
      <c r="A18" s="140" t="s">
        <v>181</v>
      </c>
      <c r="B18" s="180" t="s">
        <v>128</v>
      </c>
      <c r="C18" s="268">
        <f>+'WFMI-Weather'!E41</f>
        <v>406</v>
      </c>
      <c r="D18" s="543">
        <f>+'WFMI-Weather'!F41</f>
        <v>438</v>
      </c>
      <c r="E18" s="122">
        <f>+'WFMI-Weather'!G41</f>
        <v>0</v>
      </c>
      <c r="F18" s="122">
        <f>+'WFMI-Weather'!H41</f>
        <v>406</v>
      </c>
      <c r="G18" s="122">
        <f>+'WFMI-Weather'!I41</f>
        <v>0</v>
      </c>
      <c r="H18" s="122">
        <f>+'WFMI-Weather'!J41</f>
        <v>0</v>
      </c>
      <c r="I18" s="122">
        <f>+'WFMI-Weather'!K41</f>
        <v>0</v>
      </c>
      <c r="J18" s="122">
        <f>+'WFMI-Weather'!L41</f>
        <v>32</v>
      </c>
      <c r="K18" s="136">
        <f t="shared" ref="K18" si="3">SUM(E18:J18)</f>
        <v>438</v>
      </c>
      <c r="L18" s="228">
        <f t="shared" ref="L18" si="4">(K18*-$M$2)+K18</f>
        <v>438</v>
      </c>
      <c r="M18" s="222"/>
      <c r="N18" s="381"/>
      <c r="O18" s="29"/>
      <c r="P18" s="29"/>
    </row>
    <row r="19" spans="1:48" s="370" customFormat="1">
      <c r="A19" s="140" t="s">
        <v>955</v>
      </c>
      <c r="B19" s="180" t="s">
        <v>128</v>
      </c>
      <c r="C19" s="268">
        <f>+WPSAPS!E35</f>
        <v>125</v>
      </c>
      <c r="D19" s="543">
        <f>+WPSAPS!F35</f>
        <v>130</v>
      </c>
      <c r="E19" s="122">
        <f>+WPSAPS!G35</f>
        <v>0</v>
      </c>
      <c r="F19" s="122">
        <f>+WPSAPS!H35</f>
        <v>0</v>
      </c>
      <c r="G19" s="122">
        <f>+WPSAPS!I35</f>
        <v>0</v>
      </c>
      <c r="H19" s="122">
        <f>+WPSAPS!J35</f>
        <v>0</v>
      </c>
      <c r="I19" s="122">
        <f>+WPSAPS!K35</f>
        <v>0</v>
      </c>
      <c r="J19" s="122">
        <f>+WPSAPS!L35</f>
        <v>130</v>
      </c>
      <c r="K19" s="136">
        <f t="shared" si="1"/>
        <v>130</v>
      </c>
      <c r="L19" s="228">
        <f t="shared" si="2"/>
        <v>130</v>
      </c>
      <c r="M19" s="222"/>
      <c r="N19" s="381"/>
      <c r="O19" s="29"/>
      <c r="P19" s="29"/>
    </row>
    <row r="20" spans="1:48">
      <c r="A20" s="138" t="s">
        <v>134</v>
      </c>
      <c r="B20" s="117"/>
      <c r="C20" s="123">
        <f t="shared" ref="C20:L20" si="5">SUM(C3:C19)</f>
        <v>10445</v>
      </c>
      <c r="D20" s="139">
        <f t="shared" si="5"/>
        <v>8735.8235999999997</v>
      </c>
      <c r="E20" s="123">
        <f t="shared" si="5"/>
        <v>0</v>
      </c>
      <c r="F20" s="123">
        <f t="shared" si="5"/>
        <v>2129.4016000000001</v>
      </c>
      <c r="G20" s="123">
        <f t="shared" si="5"/>
        <v>95</v>
      </c>
      <c r="H20" s="123">
        <f t="shared" si="5"/>
        <v>1034</v>
      </c>
      <c r="I20" s="123">
        <f t="shared" si="5"/>
        <v>4868</v>
      </c>
      <c r="J20" s="123">
        <f t="shared" si="5"/>
        <v>609</v>
      </c>
      <c r="K20" s="135">
        <f t="shared" si="5"/>
        <v>8735.4016000000011</v>
      </c>
      <c r="L20" s="230">
        <f t="shared" si="5"/>
        <v>8735.4016000000011</v>
      </c>
      <c r="M20" s="222"/>
      <c r="N20" s="381"/>
      <c r="O20" s="222"/>
      <c r="P20" s="379"/>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row>
    <row r="21" spans="1:48" s="347" customFormat="1">
      <c r="A21" s="224" t="s">
        <v>135</v>
      </c>
      <c r="B21" s="225"/>
      <c r="C21" s="226"/>
      <c r="D21" s="227"/>
      <c r="E21" s="228">
        <f t="shared" ref="E21:J21" si="6">(E20*-$M$2)+E20</f>
        <v>0</v>
      </c>
      <c r="F21" s="228">
        <f t="shared" si="6"/>
        <v>2129.4016000000001</v>
      </c>
      <c r="G21" s="228">
        <f t="shared" si="6"/>
        <v>95</v>
      </c>
      <c r="H21" s="228">
        <f t="shared" si="6"/>
        <v>1034</v>
      </c>
      <c r="I21" s="228">
        <f t="shared" si="6"/>
        <v>4868</v>
      </c>
      <c r="J21" s="228">
        <f t="shared" si="6"/>
        <v>609</v>
      </c>
      <c r="K21" s="226">
        <f>SUM(E21:J21)</f>
        <v>8735.4016000000011</v>
      </c>
      <c r="L21" s="226"/>
      <c r="M21" s="29"/>
      <c r="N21" s="381"/>
      <c r="O21" s="29"/>
      <c r="P21" s="29"/>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row>
    <row r="22" spans="1:48" ht="7.5" customHeight="1">
      <c r="A22" s="19"/>
      <c r="B22" s="19"/>
      <c r="C22" s="19"/>
      <c r="D22" s="109"/>
      <c r="E22" s="19"/>
      <c r="F22" s="19"/>
      <c r="G22" s="19"/>
      <c r="H22" s="19"/>
      <c r="I22" s="19"/>
      <c r="J22" s="19"/>
      <c r="K22" s="19"/>
      <c r="L22" s="231"/>
      <c r="M22" s="29"/>
      <c r="N22" s="381"/>
      <c r="O22" s="29"/>
      <c r="P22" s="29"/>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row>
    <row r="23" spans="1:48" ht="39.5">
      <c r="A23" s="111" t="s">
        <v>182</v>
      </c>
      <c r="B23" s="1" t="s">
        <v>116</v>
      </c>
      <c r="C23" s="2" t="s">
        <v>953</v>
      </c>
      <c r="D23" s="106" t="s">
        <v>1006</v>
      </c>
      <c r="E23" s="105" t="s">
        <v>0</v>
      </c>
      <c r="F23" s="1" t="s">
        <v>1</v>
      </c>
      <c r="G23" s="1" t="s">
        <v>2</v>
      </c>
      <c r="H23" s="1" t="s">
        <v>3</v>
      </c>
      <c r="I23" s="1" t="s">
        <v>4</v>
      </c>
      <c r="J23" s="1" t="s">
        <v>26</v>
      </c>
      <c r="K23" s="1" t="s">
        <v>5</v>
      </c>
      <c r="L23" s="232"/>
      <c r="M23" s="652" t="s">
        <v>41</v>
      </c>
      <c r="N23" s="381"/>
      <c r="O23" s="29"/>
      <c r="P23" s="29"/>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row>
    <row r="24" spans="1:48">
      <c r="A24" s="140" t="s">
        <v>183</v>
      </c>
      <c r="B24" s="121" t="s">
        <v>128</v>
      </c>
      <c r="C24" s="122">
        <f>+'Active Lands PoC'!E32</f>
        <v>0</v>
      </c>
      <c r="D24" s="107">
        <f>+'Active Lands PoC'!F32</f>
        <v>0</v>
      </c>
      <c r="E24" s="122">
        <f>+'Active Lands PoC'!G32</f>
        <v>0</v>
      </c>
      <c r="F24" s="122">
        <f>+'Active Lands PoC'!H32</f>
        <v>0</v>
      </c>
      <c r="G24" s="122">
        <f>+'Active Lands PoC'!I32</f>
        <v>0</v>
      </c>
      <c r="H24" s="122">
        <f>+'Active Lands PoC'!J32</f>
        <v>0</v>
      </c>
      <c r="I24" s="122">
        <f>+'Active Lands PoC'!K32</f>
        <v>0</v>
      </c>
      <c r="J24" s="122">
        <f>+'Active Lands PoC'!L32</f>
        <v>0</v>
      </c>
      <c r="K24" s="136">
        <f t="shared" ref="K24:K34" si="7">SUM(E24:J24)</f>
        <v>0</v>
      </c>
      <c r="L24" s="228">
        <f>(K24*-$M$2)+K24</f>
        <v>0</v>
      </c>
      <c r="M24" s="222"/>
      <c r="N24" s="381"/>
      <c r="O24" s="29"/>
      <c r="P24" s="29"/>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row>
    <row r="25" spans="1:48" s="370" customFormat="1">
      <c r="A25" s="140" t="s">
        <v>184</v>
      </c>
      <c r="B25" s="121" t="s">
        <v>128</v>
      </c>
      <c r="C25" s="268">
        <f>FFI!E40</f>
        <v>234</v>
      </c>
      <c r="D25" s="543">
        <f>FFI!F40</f>
        <v>1069</v>
      </c>
      <c r="E25" s="122">
        <f>FFI!G40</f>
        <v>0</v>
      </c>
      <c r="F25" s="122">
        <f>FFI!H40</f>
        <v>0</v>
      </c>
      <c r="G25" s="122">
        <f>FFI!I40</f>
        <v>0</v>
      </c>
      <c r="H25" s="122">
        <f>FFI!J40</f>
        <v>1069</v>
      </c>
      <c r="I25" s="122">
        <f>FFI!K40</f>
        <v>0</v>
      </c>
      <c r="J25" s="122">
        <v>0</v>
      </c>
      <c r="K25" s="136">
        <f t="shared" si="7"/>
        <v>1069</v>
      </c>
      <c r="L25" s="228">
        <f>(K25*-$M$2)+K25</f>
        <v>1069</v>
      </c>
      <c r="M25" s="222">
        <f>+K25-C25</f>
        <v>835</v>
      </c>
      <c r="N25" s="381"/>
      <c r="O25" s="29"/>
      <c r="P25" s="29"/>
    </row>
    <row r="26" spans="1:48">
      <c r="A26" s="140" t="s">
        <v>185</v>
      </c>
      <c r="B26" s="121" t="s">
        <v>128</v>
      </c>
      <c r="C26" s="268">
        <f>FEIS!E40</f>
        <v>75</v>
      </c>
      <c r="D26" s="543">
        <f>FEIS!F40</f>
        <v>75</v>
      </c>
      <c r="E26" s="122">
        <f>FEIS!G40</f>
        <v>0</v>
      </c>
      <c r="F26" s="122">
        <f>(FEIS!H40)</f>
        <v>0</v>
      </c>
      <c r="G26" s="122">
        <f>FEIS!I40</f>
        <v>0</v>
      </c>
      <c r="H26" s="122">
        <f>FEIS!J40</f>
        <v>0</v>
      </c>
      <c r="I26" s="122">
        <f>FEIS!K40</f>
        <v>0</v>
      </c>
      <c r="J26" s="122">
        <f>FEIS!L40</f>
        <v>75</v>
      </c>
      <c r="K26" s="136">
        <f t="shared" si="7"/>
        <v>75</v>
      </c>
      <c r="L26" s="228">
        <f t="shared" ref="L26:L33" si="8">(K26*-$M$2)+K26</f>
        <v>75</v>
      </c>
      <c r="M26" s="222"/>
      <c r="N26" s="381"/>
      <c r="O26" s="29"/>
      <c r="P26" s="29"/>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row>
    <row r="27" spans="1:48">
      <c r="A27" s="140" t="s">
        <v>186</v>
      </c>
      <c r="B27" s="121" t="s">
        <v>128</v>
      </c>
      <c r="C27" s="268">
        <f>+IQCS!M51</f>
        <v>721</v>
      </c>
      <c r="D27" s="543">
        <f>+F27</f>
        <v>388.4984</v>
      </c>
      <c r="E27" s="122">
        <f>IQCS!G40*'Prep%Fuelspercentage.direct'!$C39</f>
        <v>0</v>
      </c>
      <c r="F27" s="122">
        <f>+IQCS!L45</f>
        <v>388.4984</v>
      </c>
      <c r="G27" s="122">
        <f>IQCS!I40*'Prep%Fuelspercentage.direct'!$C39</f>
        <v>0</v>
      </c>
      <c r="H27" s="122">
        <f>IQCS!J40*'Prep%Fuelspercentage.direct'!$C39</f>
        <v>0</v>
      </c>
      <c r="I27" s="122">
        <f>IQCS!K40*'Prep%Fuelspercentage.direct'!$C39</f>
        <v>0</v>
      </c>
      <c r="J27" s="122">
        <f>ROUND((IQCS!L40-IQCS!F43)*'Prep%Fuelspercentage.direct'!$C39,0)</f>
        <v>0</v>
      </c>
      <c r="K27" s="136">
        <f t="shared" si="7"/>
        <v>388.4984</v>
      </c>
      <c r="L27" s="228">
        <f t="shared" si="8"/>
        <v>388.4984</v>
      </c>
      <c r="M27" s="222">
        <f t="shared" ref="M27:M34" si="9">+K27-C27</f>
        <v>-332.5016</v>
      </c>
      <c r="N27" s="381"/>
      <c r="O27" s="29"/>
      <c r="P27" s="29"/>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row>
    <row r="28" spans="1:48">
      <c r="A28" s="140" t="s">
        <v>187</v>
      </c>
      <c r="B28" s="121" t="s">
        <v>128</v>
      </c>
      <c r="C28" s="268">
        <f>IFTDSS!E45</f>
        <v>2966</v>
      </c>
      <c r="D28" s="543">
        <f>IFTDSS!F45</f>
        <v>1616</v>
      </c>
      <c r="E28" s="122">
        <f>IFTDSS!G44</f>
        <v>0</v>
      </c>
      <c r="F28" s="122">
        <f>IFTDSS!H44</f>
        <v>0</v>
      </c>
      <c r="G28" s="122">
        <f>IFTDSS!I44</f>
        <v>0</v>
      </c>
      <c r="H28" s="122">
        <f>IFTDSS!J44</f>
        <v>0</v>
      </c>
      <c r="I28" s="122">
        <f>IFTDSS!K44-IFTDSS!B50</f>
        <v>1543</v>
      </c>
      <c r="J28" s="122">
        <f>IFTDSS!L44</f>
        <v>73</v>
      </c>
      <c r="K28" s="136">
        <f t="shared" si="7"/>
        <v>1616</v>
      </c>
      <c r="L28" s="228">
        <f t="shared" si="8"/>
        <v>1616</v>
      </c>
      <c r="M28" s="222">
        <f t="shared" si="9"/>
        <v>-1350</v>
      </c>
      <c r="N28" s="381"/>
      <c r="O28" s="29"/>
      <c r="P28" s="29"/>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row>
    <row r="29" spans="1:48" s="370" customFormat="1">
      <c r="A29" s="140" t="s">
        <v>188</v>
      </c>
      <c r="B29" s="180" t="s">
        <v>128</v>
      </c>
      <c r="C29" s="268">
        <f>+INFORM!K49</f>
        <v>1306</v>
      </c>
      <c r="D29" s="543">
        <f>+INFORM!J49</f>
        <v>1193</v>
      </c>
      <c r="E29" s="122">
        <f>INFORM!G64</f>
        <v>0</v>
      </c>
      <c r="F29" s="122">
        <f>+INFORM!H45-'IT (WFIT) Project Summary'!F10</f>
        <v>855</v>
      </c>
      <c r="G29" s="122">
        <f>INFORM!I64</f>
        <v>0</v>
      </c>
      <c r="H29" s="122">
        <f>INFORM!J64</f>
        <v>0</v>
      </c>
      <c r="I29" s="122">
        <f>+INFORM!K45-I10</f>
        <v>377</v>
      </c>
      <c r="J29" s="122">
        <f>+INFORM!L45-'IT (WFIT) Project Summary'!J10</f>
        <v>-39</v>
      </c>
      <c r="K29" s="136">
        <f>SUM(E29:J29)</f>
        <v>1193</v>
      </c>
      <c r="L29" s="228">
        <f>(K29*-$M$2)+K29</f>
        <v>1193</v>
      </c>
      <c r="M29" s="222">
        <f t="shared" si="9"/>
        <v>-113</v>
      </c>
      <c r="N29" s="381"/>
      <c r="O29" s="29"/>
      <c r="P29" s="29"/>
    </row>
    <row r="30" spans="1:48">
      <c r="A30" s="140" t="s">
        <v>189</v>
      </c>
      <c r="B30" s="121" t="s">
        <v>128</v>
      </c>
      <c r="C30" s="268">
        <f>LANDFIRE!E35</f>
        <v>2280</v>
      </c>
      <c r="D30" s="543">
        <f>LANDFIRE!F35</f>
        <v>1353</v>
      </c>
      <c r="E30" s="122">
        <f>LANDFIRE!G34</f>
        <v>0</v>
      </c>
      <c r="F30" s="122">
        <f>LANDFIRE!H34</f>
        <v>0</v>
      </c>
      <c r="G30" s="122">
        <f>LANDFIRE!I34</f>
        <v>0</v>
      </c>
      <c r="H30" s="122">
        <f>LANDFIRE!J34</f>
        <v>0</v>
      </c>
      <c r="I30" s="122">
        <f>LANDFIRE!K34-LANDFIRE!B40</f>
        <v>478</v>
      </c>
      <c r="J30" s="122">
        <f>LANDFIRE!L34</f>
        <v>875</v>
      </c>
      <c r="K30" s="136">
        <f t="shared" si="7"/>
        <v>1353</v>
      </c>
      <c r="L30" s="228">
        <f t="shared" si="8"/>
        <v>1353</v>
      </c>
      <c r="M30" s="222">
        <f t="shared" si="9"/>
        <v>-927</v>
      </c>
      <c r="N30" s="381"/>
      <c r="O30" s="29"/>
      <c r="P30" s="29"/>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row>
    <row r="31" spans="1:48">
      <c r="A31" s="140" t="s">
        <v>190</v>
      </c>
      <c r="B31" s="121" t="s">
        <v>128</v>
      </c>
      <c r="C31" s="268">
        <f>MTBS!E40</f>
        <v>272</v>
      </c>
      <c r="D31" s="543">
        <f>MTBS!F40</f>
        <v>283</v>
      </c>
      <c r="E31" s="122">
        <f>MTBS!G40</f>
        <v>0</v>
      </c>
      <c r="F31" s="122">
        <f>MTBS!H40</f>
        <v>0</v>
      </c>
      <c r="G31" s="122">
        <f>MTBS!I40</f>
        <v>0</v>
      </c>
      <c r="H31" s="122">
        <f>MTBS!J40</f>
        <v>283</v>
      </c>
      <c r="I31" s="122">
        <f>MTBS!K40</f>
        <v>0</v>
      </c>
      <c r="J31" s="122">
        <f>MTBS!L40</f>
        <v>0</v>
      </c>
      <c r="K31" s="136">
        <f t="shared" si="7"/>
        <v>283</v>
      </c>
      <c r="L31" s="228">
        <f t="shared" si="8"/>
        <v>283</v>
      </c>
      <c r="M31" s="222">
        <f t="shared" si="9"/>
        <v>11</v>
      </c>
      <c r="N31" s="381"/>
      <c r="O31" s="29"/>
      <c r="P31" s="29"/>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row>
    <row r="32" spans="1:48">
      <c r="A32" s="140" t="s">
        <v>191</v>
      </c>
      <c r="B32" s="121" t="s">
        <v>128</v>
      </c>
      <c r="C32" s="268">
        <f>NFPORS!E46</f>
        <v>1184</v>
      </c>
      <c r="D32" s="543">
        <f>NFPORS!F46</f>
        <v>1221</v>
      </c>
      <c r="E32" s="122">
        <f>NFPORS!G45</f>
        <v>0</v>
      </c>
      <c r="F32" s="122">
        <f>NFPORS!H45</f>
        <v>0</v>
      </c>
      <c r="G32" s="122">
        <f>NFPORS!I45</f>
        <v>0</v>
      </c>
      <c r="H32" s="122">
        <f>NFPORS!J45</f>
        <v>0</v>
      </c>
      <c r="I32" s="122">
        <f>NFPORS!K45-NFPORS!B51</f>
        <v>450</v>
      </c>
      <c r="J32" s="122">
        <f>NFPORS!L45</f>
        <v>771</v>
      </c>
      <c r="K32" s="136">
        <f t="shared" si="7"/>
        <v>1221</v>
      </c>
      <c r="L32" s="228">
        <f t="shared" si="8"/>
        <v>1221</v>
      </c>
      <c r="M32" s="222">
        <f t="shared" si="9"/>
        <v>37</v>
      </c>
      <c r="N32" s="381"/>
      <c r="O32" s="29"/>
      <c r="P32" s="29"/>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row>
    <row r="33" spans="1:19" s="370" customFormat="1">
      <c r="A33" s="542" t="s">
        <v>192</v>
      </c>
      <c r="B33" s="370" t="s">
        <v>128</v>
      </c>
      <c r="C33" s="379">
        <f>+'WFIT Data Management'!K54</f>
        <v>74</v>
      </c>
      <c r="D33" s="543">
        <f>+'WFIT Data Management'!J46</f>
        <v>-22.421999999999997</v>
      </c>
      <c r="E33" s="281">
        <f>+'WFIT Data Management'!G61</f>
        <v>0</v>
      </c>
      <c r="F33" s="281">
        <f>+'WFIT Data Management'!H61</f>
        <v>0</v>
      </c>
      <c r="G33" s="281">
        <f>+'WFIT Data Management'!I61</f>
        <v>0</v>
      </c>
      <c r="H33" s="281">
        <f>(+'WFIT Data Management'!J61)</f>
        <v>0</v>
      </c>
      <c r="I33" s="281">
        <f>+'WFIT Data Management'!M46</f>
        <v>57</v>
      </c>
      <c r="J33" s="281">
        <f>+'WFIT Data Management'!K46-I33</f>
        <v>-79</v>
      </c>
      <c r="K33" s="136">
        <f>SUM(E33:J33)</f>
        <v>-22</v>
      </c>
      <c r="L33" s="228">
        <f t="shared" si="8"/>
        <v>-22</v>
      </c>
      <c r="M33" s="222">
        <f t="shared" si="9"/>
        <v>-96</v>
      </c>
      <c r="N33" s="381"/>
      <c r="O33" s="29"/>
      <c r="P33" s="29"/>
    </row>
    <row r="34" spans="1:19" s="370" customFormat="1">
      <c r="A34" s="140" t="s">
        <v>193</v>
      </c>
      <c r="B34" s="121" t="s">
        <v>128</v>
      </c>
      <c r="C34" s="268">
        <f>+'WFIT Staff'!K51</f>
        <v>377</v>
      </c>
      <c r="D34" s="543">
        <f>+'WFIT Staff'!J43+'WFIT Staff'!L43</f>
        <v>123</v>
      </c>
      <c r="E34" s="122">
        <f>'WFIT Staff'!G37*'Prep%Fuelspercentage.direct'!$B39</f>
        <v>0</v>
      </c>
      <c r="F34" s="122">
        <f>'WFIT Staff'!H37*'Prep%Fuelspercentage.direct'!$B39</f>
        <v>0</v>
      </c>
      <c r="G34" s="122">
        <f>('WFIT Staff'!I37*'Prep%Fuelspercentage.direct'!$B39)-29</f>
        <v>-0.1769999999999996</v>
      </c>
      <c r="H34" s="122">
        <f>'WFIT Staff'!J37*'Prep%Fuelspercentage.direct'!$B39</f>
        <v>0</v>
      </c>
      <c r="I34" s="268">
        <f>+D34</f>
        <v>123</v>
      </c>
      <c r="J34" s="122">
        <f>'WFIT Staff'!L37</f>
        <v>0</v>
      </c>
      <c r="K34" s="136">
        <f t="shared" si="7"/>
        <v>122.82300000000001</v>
      </c>
      <c r="L34" s="228">
        <f>(K34*-$M$2)+K34</f>
        <v>122.82300000000001</v>
      </c>
      <c r="M34" s="222">
        <f t="shared" si="9"/>
        <v>-254.17699999999999</v>
      </c>
      <c r="N34" s="381"/>
      <c r="O34" s="29"/>
      <c r="P34" s="29"/>
    </row>
    <row r="35" spans="1:19">
      <c r="A35" s="138" t="s">
        <v>144</v>
      </c>
      <c r="B35" s="117"/>
      <c r="C35" s="123">
        <f t="shared" ref="C35:L35" si="10">SUM(C24:C34)</f>
        <v>9489</v>
      </c>
      <c r="D35" s="139">
        <f t="shared" si="10"/>
        <v>7299.0764000000008</v>
      </c>
      <c r="E35" s="123">
        <f t="shared" si="10"/>
        <v>0</v>
      </c>
      <c r="F35" s="123">
        <f t="shared" si="10"/>
        <v>1243.4983999999999</v>
      </c>
      <c r="G35" s="123">
        <f t="shared" si="10"/>
        <v>-0.1769999999999996</v>
      </c>
      <c r="H35" s="123">
        <f t="shared" si="10"/>
        <v>1352</v>
      </c>
      <c r="I35" s="123">
        <f t="shared" si="10"/>
        <v>3028</v>
      </c>
      <c r="J35" s="123">
        <f t="shared" si="10"/>
        <v>1676</v>
      </c>
      <c r="K35" s="135">
        <f t="shared" si="10"/>
        <v>7299.3214000000007</v>
      </c>
      <c r="L35" s="230">
        <f t="shared" si="10"/>
        <v>7299.3214000000007</v>
      </c>
      <c r="M35" s="222"/>
      <c r="N35" s="381"/>
      <c r="O35" s="29"/>
      <c r="P35" s="29"/>
      <c r="Q35" s="370"/>
    </row>
    <row r="36" spans="1:19">
      <c r="A36" s="224" t="s">
        <v>135</v>
      </c>
      <c r="B36" s="225"/>
      <c r="C36" s="226"/>
      <c r="D36" s="227"/>
      <c r="E36" s="228">
        <f t="shared" ref="E36:J36" si="11">(E35*-$M$2)+E35</f>
        <v>0</v>
      </c>
      <c r="F36" s="228">
        <f t="shared" si="11"/>
        <v>1243.4983999999999</v>
      </c>
      <c r="G36" s="228">
        <f t="shared" si="11"/>
        <v>-0.1769999999999996</v>
      </c>
      <c r="H36" s="228">
        <f t="shared" si="11"/>
        <v>1352</v>
      </c>
      <c r="I36" s="228">
        <f t="shared" si="11"/>
        <v>3028</v>
      </c>
      <c r="J36" s="228">
        <f t="shared" si="11"/>
        <v>1676</v>
      </c>
      <c r="K36" s="226">
        <f>SUM(E36:J36)</f>
        <v>7299.3213999999998</v>
      </c>
      <c r="L36" s="226"/>
      <c r="M36" s="29"/>
      <c r="N36" s="381"/>
      <c r="O36" s="29"/>
      <c r="P36" s="29"/>
      <c r="Q36" s="370"/>
    </row>
    <row r="37" spans="1:19" ht="7.5" customHeight="1">
      <c r="A37" s="19"/>
      <c r="B37" s="19"/>
      <c r="C37" s="19"/>
      <c r="D37" s="109"/>
      <c r="E37" s="19"/>
      <c r="F37" s="19"/>
      <c r="G37" s="19"/>
      <c r="H37" s="19"/>
      <c r="I37" s="19"/>
      <c r="J37" s="19"/>
      <c r="K37" s="19"/>
      <c r="L37" s="231"/>
      <c r="M37" s="29"/>
      <c r="N37" s="381"/>
      <c r="O37" s="29"/>
      <c r="P37" s="29"/>
      <c r="Q37" s="370"/>
    </row>
    <row r="38" spans="1:19" ht="29.5" customHeight="1">
      <c r="A38" s="283" t="s">
        <v>194</v>
      </c>
      <c r="B38" s="370" t="s">
        <v>25</v>
      </c>
      <c r="C38" s="547">
        <f>+C35</f>
        <v>9489</v>
      </c>
      <c r="D38" s="523"/>
      <c r="E38" s="370"/>
      <c r="F38" s="370"/>
      <c r="G38" s="370"/>
      <c r="H38" s="370"/>
      <c r="I38" s="283" t="s">
        <v>1305</v>
      </c>
      <c r="J38" s="370" t="s">
        <v>25</v>
      </c>
      <c r="K38" s="284">
        <f>+K35</f>
        <v>7299.3214000000007</v>
      </c>
      <c r="L38" s="539"/>
      <c r="M38" s="651"/>
      <c r="N38" s="480"/>
      <c r="O38" s="539"/>
      <c r="P38" s="29"/>
      <c r="Q38" s="370"/>
    </row>
    <row r="39" spans="1:19">
      <c r="A39" s="370"/>
      <c r="B39" s="370" t="s">
        <v>24</v>
      </c>
      <c r="C39" s="548">
        <f>+C20-C4</f>
        <v>10445</v>
      </c>
      <c r="D39" s="523"/>
      <c r="E39" s="545"/>
      <c r="F39" s="545"/>
      <c r="G39" s="545"/>
      <c r="H39" s="370"/>
      <c r="I39" s="370"/>
      <c r="J39" s="370" t="s">
        <v>24</v>
      </c>
      <c r="K39" s="503">
        <f>+K20-K4</f>
        <v>8735.4016000000011</v>
      </c>
      <c r="L39" s="370"/>
      <c r="M39" s="651"/>
      <c r="N39" s="480"/>
      <c r="O39" s="370"/>
      <c r="P39" s="370"/>
      <c r="Q39" s="370"/>
    </row>
    <row r="40" spans="1:19" ht="15" thickBot="1">
      <c r="A40" s="370"/>
      <c r="B40" s="370" t="s">
        <v>5</v>
      </c>
      <c r="C40" s="549">
        <f>+C38+C39</f>
        <v>19934</v>
      </c>
      <c r="D40" s="523"/>
      <c r="E40" s="370"/>
      <c r="F40" s="370"/>
      <c r="G40" s="370"/>
      <c r="H40" s="370"/>
      <c r="I40" s="370"/>
      <c r="J40" s="370" t="s">
        <v>5</v>
      </c>
      <c r="K40" s="546">
        <f>+K38+K39</f>
        <v>16034.723000000002</v>
      </c>
      <c r="L40" s="370"/>
      <c r="M40" s="222"/>
      <c r="O40" s="370"/>
      <c r="P40" s="370"/>
      <c r="Q40" s="370"/>
    </row>
    <row r="41" spans="1:19" s="370" customFormat="1" ht="15" thickTop="1">
      <c r="A41" s="540"/>
      <c r="B41" s="29"/>
      <c r="C41" s="523"/>
      <c r="D41" s="180"/>
      <c r="J41" s="517"/>
      <c r="K41" s="523"/>
      <c r="L41" s="180"/>
      <c r="M41" s="222"/>
      <c r="N41" s="247"/>
    </row>
    <row r="42" spans="1:19" ht="16">
      <c r="A42" s="370"/>
      <c r="B42" s="370"/>
      <c r="C42" s="524"/>
      <c r="D42" s="370"/>
      <c r="E42" s="370"/>
      <c r="F42" s="370"/>
      <c r="G42" s="370"/>
      <c r="H42" s="370"/>
      <c r="I42" s="370"/>
      <c r="J42" s="517"/>
      <c r="K42" s="524"/>
      <c r="L42" s="180"/>
      <c r="M42" s="450"/>
      <c r="O42" s="370"/>
      <c r="P42" s="370"/>
      <c r="Q42" s="370"/>
    </row>
    <row r="43" spans="1:19">
      <c r="A43" s="391" t="s">
        <v>195</v>
      </c>
      <c r="B43" s="391" t="s">
        <v>195</v>
      </c>
      <c r="C43" s="222"/>
      <c r="D43" s="370"/>
      <c r="E43" s="370"/>
      <c r="F43" s="391" t="s">
        <v>195</v>
      </c>
      <c r="G43" s="370"/>
      <c r="H43" s="370"/>
      <c r="I43" s="370"/>
      <c r="J43" s="370"/>
      <c r="K43" s="251"/>
      <c r="L43" s="370"/>
      <c r="M43" s="370"/>
      <c r="O43" s="370"/>
      <c r="P43" s="370"/>
      <c r="Q43" s="370"/>
    </row>
    <row r="44" spans="1:19" s="370" customFormat="1">
      <c r="A44" s="421"/>
      <c r="C44" s="222"/>
      <c r="D44" s="382"/>
      <c r="I44" s="639"/>
      <c r="K44" s="29"/>
      <c r="L44" s="29"/>
      <c r="N44" s="247"/>
    </row>
    <row r="46" spans="1:19" s="370" customFormat="1" ht="101.5">
      <c r="B46" s="435" t="s">
        <v>196</v>
      </c>
      <c r="C46" s="431" t="s">
        <v>197</v>
      </c>
      <c r="D46" s="432" t="s">
        <v>198</v>
      </c>
      <c r="E46" s="433" t="s">
        <v>199</v>
      </c>
      <c r="F46" s="431" t="s">
        <v>200</v>
      </c>
      <c r="G46" s="432" t="s">
        <v>201</v>
      </c>
      <c r="H46" s="452" t="s">
        <v>202</v>
      </c>
      <c r="I46" s="433" t="s">
        <v>203</v>
      </c>
      <c r="J46" s="431" t="s">
        <v>204</v>
      </c>
      <c r="K46" s="525" t="s">
        <v>205</v>
      </c>
      <c r="L46" s="432" t="s">
        <v>206</v>
      </c>
      <c r="M46" s="452" t="s">
        <v>207</v>
      </c>
      <c r="N46" s="433" t="s">
        <v>207</v>
      </c>
      <c r="O46" s="431" t="s">
        <v>208</v>
      </c>
      <c r="P46" s="433" t="s">
        <v>729</v>
      </c>
      <c r="Q46" s="525" t="s">
        <v>1173</v>
      </c>
      <c r="R46" s="433" t="s">
        <v>1174</v>
      </c>
    </row>
    <row r="47" spans="1:19" ht="16">
      <c r="A47" s="283" t="s">
        <v>209</v>
      </c>
      <c r="B47" s="436">
        <f>SUM(B48:B49)</f>
        <v>9790</v>
      </c>
      <c r="C47" s="427">
        <f>SUM(C48:C49)</f>
        <v>8321</v>
      </c>
      <c r="D47" s="429">
        <f>SUM(D48:D49)</f>
        <v>8320</v>
      </c>
      <c r="E47" s="434">
        <f>SUM(E48:E49)</f>
        <v>9790</v>
      </c>
      <c r="F47" s="427">
        <f>+C40</f>
        <v>19934</v>
      </c>
      <c r="G47" s="429">
        <f>SUM(G48:G49)</f>
        <v>11451</v>
      </c>
      <c r="H47" s="453">
        <f>SUM(H48:H49)</f>
        <v>8453</v>
      </c>
      <c r="I47" s="434">
        <f>SUM(I48:I49)</f>
        <v>8973</v>
      </c>
      <c r="J47" s="427">
        <f>SUM(J48:J49)</f>
        <v>10083</v>
      </c>
      <c r="K47" s="526">
        <f>SUM(K48:K49)</f>
        <v>9908</v>
      </c>
      <c r="L47" s="429">
        <f t="shared" ref="L47:N47" si="12">SUM(L48:L49)</f>
        <v>15380</v>
      </c>
      <c r="M47" s="453">
        <f t="shared" si="12"/>
        <v>12125</v>
      </c>
      <c r="N47" s="434">
        <f t="shared" si="12"/>
        <v>12629</v>
      </c>
      <c r="O47" s="427">
        <f>SUM(O48:O49)</f>
        <v>15816</v>
      </c>
      <c r="P47" s="434">
        <f>SUM(P48:P49)</f>
        <v>15642.6608</v>
      </c>
      <c r="Q47" s="526">
        <f>SUM(Q48:Q49)</f>
        <v>18464</v>
      </c>
      <c r="R47" s="434">
        <f>SUM(R48:R49)</f>
        <v>19896</v>
      </c>
      <c r="S47" s="370"/>
    </row>
    <row r="48" spans="1:19">
      <c r="A48" s="283" t="s">
        <v>25</v>
      </c>
      <c r="B48" s="438">
        <v>4078</v>
      </c>
      <c r="C48" s="428">
        <v>3466</v>
      </c>
      <c r="D48" s="430">
        <f>2997+114</f>
        <v>3111</v>
      </c>
      <c r="E48" s="437">
        <v>4078</v>
      </c>
      <c r="F48" s="428">
        <f>+C38</f>
        <v>9489</v>
      </c>
      <c r="G48" s="430">
        <v>3979</v>
      </c>
      <c r="H48" s="454">
        <v>3819</v>
      </c>
      <c r="I48" s="437">
        <f>4078+325</f>
        <v>4403</v>
      </c>
      <c r="J48" s="428">
        <v>4200</v>
      </c>
      <c r="K48" s="527">
        <f>4200+117</f>
        <v>4317</v>
      </c>
      <c r="L48" s="430">
        <v>7518</v>
      </c>
      <c r="M48" s="454">
        <v>4733</v>
      </c>
      <c r="N48" s="437">
        <v>4713</v>
      </c>
      <c r="O48" s="428">
        <v>7217</v>
      </c>
      <c r="P48" s="437">
        <v>7141.6607999999997</v>
      </c>
      <c r="Q48" s="527">
        <v>7954</v>
      </c>
      <c r="R48" s="437">
        <v>9489</v>
      </c>
      <c r="S48" s="370"/>
    </row>
    <row r="49" spans="1:18">
      <c r="A49" s="283" t="s">
        <v>24</v>
      </c>
      <c r="B49" s="438">
        <f>6912-1000-200</f>
        <v>5712</v>
      </c>
      <c r="C49" s="428">
        <v>4855</v>
      </c>
      <c r="D49" s="430">
        <f>4351+264+94+500</f>
        <v>5209</v>
      </c>
      <c r="E49" s="437">
        <f>6912-1000-200</f>
        <v>5712</v>
      </c>
      <c r="F49" s="428">
        <f>+C39</f>
        <v>10445</v>
      </c>
      <c r="G49" s="430">
        <v>7472</v>
      </c>
      <c r="H49" s="454">
        <v>4634</v>
      </c>
      <c r="I49" s="437">
        <v>4570</v>
      </c>
      <c r="J49" s="428">
        <v>5883</v>
      </c>
      <c r="K49" s="527">
        <v>5591</v>
      </c>
      <c r="L49" s="430">
        <v>7862</v>
      </c>
      <c r="M49" s="454">
        <v>7392</v>
      </c>
      <c r="N49" s="437">
        <v>7916</v>
      </c>
      <c r="O49" s="428">
        <v>8599</v>
      </c>
      <c r="P49" s="437">
        <v>8501</v>
      </c>
      <c r="Q49" s="527">
        <v>10510</v>
      </c>
      <c r="R49" s="437">
        <v>10407</v>
      </c>
    </row>
    <row r="50" spans="1:18">
      <c r="A50" s="370"/>
      <c r="B50" s="370"/>
      <c r="C50" s="370"/>
      <c r="D50" s="370"/>
      <c r="E50" s="370"/>
      <c r="F50" s="370"/>
      <c r="G50" s="370"/>
      <c r="H50" s="370"/>
      <c r="I50" s="370"/>
      <c r="J50" s="370"/>
      <c r="K50" s="370"/>
      <c r="L50" s="370"/>
      <c r="M50" s="370"/>
      <c r="O50" s="370"/>
      <c r="P50" s="370"/>
      <c r="Q50" s="370"/>
    </row>
  </sheetData>
  <pageMargins left="0.7" right="0.7" top="0.75" bottom="0.75" header="0.3" footer="0.3"/>
  <pageSetup scale="72" fitToHeight="0" orientation="landscape" r:id="rId1"/>
  <headerFooter>
    <oddHeader xml:space="preserve">&amp;CDRAFT NOT FOR DISTRIBUTION, INTERNAL USE ONLY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178"/>
  <sheetViews>
    <sheetView zoomScaleNormal="100" workbookViewId="0">
      <selection sqref="A1:O1"/>
    </sheetView>
  </sheetViews>
  <sheetFormatPr defaultColWidth="9.1796875" defaultRowHeight="14.5"/>
  <cols>
    <col min="1" max="1" width="47.26953125" style="149" customWidth="1"/>
    <col min="2" max="2" width="16" style="149" customWidth="1"/>
    <col min="3" max="3" width="7.7265625" style="150" customWidth="1"/>
    <col min="4" max="4" width="8.7265625" style="149" customWidth="1"/>
    <col min="5" max="6" width="10.7265625" style="149" customWidth="1"/>
    <col min="7" max="7" width="11" style="149" customWidth="1"/>
    <col min="8" max="8" width="9.54296875" style="149" customWidth="1"/>
    <col min="9" max="9" width="8.453125" style="149" customWidth="1"/>
    <col min="10" max="11" width="7.1796875" style="149" customWidth="1"/>
    <col min="12" max="12" width="7.7265625" style="149" customWidth="1"/>
    <col min="13" max="13" width="9.7265625" style="149" customWidth="1"/>
    <col min="14" max="14" width="9.1796875" style="149" customWidth="1"/>
    <col min="15" max="15" width="34.81640625" style="149" customWidth="1"/>
    <col min="16" max="16384" width="9.1796875" style="149"/>
  </cols>
  <sheetData>
    <row r="1" spans="1:15" ht="15.5">
      <c r="A1" s="854" t="s">
        <v>165</v>
      </c>
      <c r="B1" s="854"/>
      <c r="C1" s="854"/>
      <c r="D1" s="854"/>
      <c r="E1" s="854"/>
      <c r="F1" s="854"/>
      <c r="G1" s="854"/>
      <c r="H1" s="854"/>
      <c r="I1" s="854"/>
      <c r="J1" s="854"/>
      <c r="K1" s="854"/>
      <c r="L1" s="854"/>
      <c r="M1" s="854"/>
      <c r="N1" s="854"/>
      <c r="O1" s="854"/>
    </row>
    <row r="2" spans="1:15">
      <c r="A2" s="702" t="s">
        <v>1482</v>
      </c>
      <c r="B2" s="370"/>
      <c r="C2" s="639"/>
      <c r="D2" s="370"/>
      <c r="E2" s="370"/>
      <c r="F2" s="370"/>
      <c r="G2" s="370"/>
      <c r="H2" s="370"/>
      <c r="I2" s="370"/>
      <c r="J2" s="370"/>
      <c r="K2" s="370"/>
      <c r="L2" s="370"/>
      <c r="M2" s="370"/>
      <c r="N2" s="370"/>
      <c r="O2" s="370"/>
    </row>
    <row r="3" spans="1:15">
      <c r="A3" s="506" t="s">
        <v>783</v>
      </c>
      <c r="B3" s="370"/>
      <c r="C3" s="639"/>
      <c r="D3" s="370"/>
      <c r="E3" s="370"/>
      <c r="F3" s="451" t="s">
        <v>210</v>
      </c>
      <c r="G3" s="29"/>
      <c r="H3" s="370"/>
      <c r="I3" s="370"/>
      <c r="J3" s="370"/>
      <c r="K3" s="370"/>
      <c r="L3" s="370"/>
      <c r="M3" s="370"/>
      <c r="N3" s="370"/>
      <c r="O3" s="370"/>
    </row>
    <row r="4" spans="1:15">
      <c r="A4" s="506" t="s">
        <v>211</v>
      </c>
      <c r="B4" s="31"/>
      <c r="C4" s="32"/>
      <c r="D4" s="31"/>
      <c r="E4" s="31"/>
      <c r="F4" s="31"/>
      <c r="G4" s="370"/>
      <c r="H4" s="370"/>
      <c r="I4" s="370"/>
      <c r="J4" s="370"/>
      <c r="K4" s="370"/>
      <c r="L4" s="370"/>
      <c r="M4" s="370"/>
      <c r="N4" s="370"/>
      <c r="O4" s="370"/>
    </row>
    <row r="5" spans="1:15" ht="39.5">
      <c r="A5" s="33"/>
      <c r="B5" s="33" t="s">
        <v>212</v>
      </c>
      <c r="C5" s="1" t="s">
        <v>213</v>
      </c>
      <c r="D5" s="2" t="s">
        <v>733</v>
      </c>
      <c r="E5" s="34" t="s">
        <v>734</v>
      </c>
      <c r="F5" s="2" t="s">
        <v>1007</v>
      </c>
      <c r="G5" s="35" t="s">
        <v>1008</v>
      </c>
      <c r="H5" s="35" t="s">
        <v>0</v>
      </c>
      <c r="I5" s="35" t="s">
        <v>1</v>
      </c>
      <c r="J5" s="35" t="s">
        <v>2</v>
      </c>
      <c r="K5" s="35" t="s">
        <v>3</v>
      </c>
      <c r="L5" s="35" t="s">
        <v>4</v>
      </c>
      <c r="M5" s="35" t="s">
        <v>26</v>
      </c>
      <c r="N5" s="2" t="s">
        <v>214</v>
      </c>
      <c r="O5" s="35" t="s">
        <v>215</v>
      </c>
    </row>
    <row r="6" spans="1:15">
      <c r="A6" s="125" t="s">
        <v>216</v>
      </c>
      <c r="B6" s="126"/>
      <c r="C6" s="127"/>
      <c r="D6" s="126"/>
      <c r="E6" s="126"/>
      <c r="F6" s="126"/>
      <c r="G6" s="87"/>
      <c r="H6" s="87"/>
      <c r="I6" s="87"/>
      <c r="J6" s="87"/>
      <c r="K6" s="87"/>
      <c r="L6" s="87"/>
      <c r="M6" s="87"/>
      <c r="N6" s="87"/>
      <c r="O6" s="87"/>
    </row>
    <row r="7" spans="1:15">
      <c r="A7" s="36" t="s">
        <v>217</v>
      </c>
      <c r="B7" s="36"/>
      <c r="C7" s="37" t="s">
        <v>218</v>
      </c>
      <c r="D7" s="38"/>
      <c r="E7" s="258">
        <v>0</v>
      </c>
      <c r="F7" s="38"/>
      <c r="G7" s="303">
        <f t="shared" ref="G7:G12" si="0">SUM(H7:N7)</f>
        <v>0</v>
      </c>
      <c r="H7" s="304">
        <v>0</v>
      </c>
      <c r="I7" s="304">
        <v>0</v>
      </c>
      <c r="J7" s="304">
        <v>0</v>
      </c>
      <c r="K7" s="304">
        <v>0</v>
      </c>
      <c r="L7" s="304">
        <v>0</v>
      </c>
      <c r="M7" s="304">
        <v>0</v>
      </c>
      <c r="N7" s="305">
        <v>0</v>
      </c>
      <c r="O7" s="348"/>
    </row>
    <row r="8" spans="1:15" ht="15" customHeight="1">
      <c r="A8" s="36" t="s">
        <v>217</v>
      </c>
      <c r="B8" s="36"/>
      <c r="C8" s="37" t="s">
        <v>218</v>
      </c>
      <c r="D8" s="39"/>
      <c r="E8" s="258">
        <v>0</v>
      </c>
      <c r="F8" s="39"/>
      <c r="G8" s="303">
        <f t="shared" si="0"/>
        <v>0</v>
      </c>
      <c r="H8" s="304">
        <v>0</v>
      </c>
      <c r="I8" s="304">
        <v>0</v>
      </c>
      <c r="J8" s="304">
        <v>0</v>
      </c>
      <c r="K8" s="304">
        <v>0</v>
      </c>
      <c r="L8" s="304">
        <v>0</v>
      </c>
      <c r="M8" s="304">
        <v>0</v>
      </c>
      <c r="N8" s="305">
        <v>0</v>
      </c>
      <c r="O8" s="348"/>
    </row>
    <row r="9" spans="1:15" ht="15" customHeight="1">
      <c r="A9" s="36" t="s">
        <v>217</v>
      </c>
      <c r="B9" s="259"/>
      <c r="C9" s="37" t="s">
        <v>218</v>
      </c>
      <c r="D9" s="39"/>
      <c r="E9" s="258">
        <v>0</v>
      </c>
      <c r="F9" s="39"/>
      <c r="G9" s="303">
        <f t="shared" si="0"/>
        <v>0</v>
      </c>
      <c r="H9" s="304">
        <v>0</v>
      </c>
      <c r="I9" s="304">
        <v>0</v>
      </c>
      <c r="J9" s="304">
        <v>0</v>
      </c>
      <c r="K9" s="304">
        <v>0</v>
      </c>
      <c r="L9" s="304">
        <v>0</v>
      </c>
      <c r="M9" s="304">
        <v>0</v>
      </c>
      <c r="N9" s="305">
        <v>0</v>
      </c>
      <c r="O9" s="348"/>
    </row>
    <row r="10" spans="1:15">
      <c r="A10" s="36" t="s">
        <v>217</v>
      </c>
      <c r="B10" s="259"/>
      <c r="C10" s="37" t="s">
        <v>218</v>
      </c>
      <c r="D10" s="39"/>
      <c r="E10" s="258">
        <v>0</v>
      </c>
      <c r="F10" s="39"/>
      <c r="G10" s="303">
        <f t="shared" si="0"/>
        <v>0</v>
      </c>
      <c r="H10" s="304">
        <v>0</v>
      </c>
      <c r="I10" s="304">
        <v>0</v>
      </c>
      <c r="J10" s="304">
        <v>0</v>
      </c>
      <c r="K10" s="304">
        <v>0</v>
      </c>
      <c r="L10" s="304">
        <v>0</v>
      </c>
      <c r="M10" s="304">
        <v>0</v>
      </c>
      <c r="N10" s="305">
        <v>0</v>
      </c>
      <c r="O10" s="348"/>
    </row>
    <row r="11" spans="1:15">
      <c r="A11" s="36" t="s">
        <v>217</v>
      </c>
      <c r="B11" s="259"/>
      <c r="C11" s="37" t="s">
        <v>218</v>
      </c>
      <c r="D11" s="39"/>
      <c r="E11" s="258">
        <v>0</v>
      </c>
      <c r="F11" s="39"/>
      <c r="G11" s="303">
        <f t="shared" si="0"/>
        <v>0</v>
      </c>
      <c r="H11" s="304">
        <v>0</v>
      </c>
      <c r="I11" s="304">
        <v>0</v>
      </c>
      <c r="J11" s="304">
        <v>0</v>
      </c>
      <c r="K11" s="304">
        <v>0</v>
      </c>
      <c r="L11" s="304">
        <v>0</v>
      </c>
      <c r="M11" s="304">
        <v>0</v>
      </c>
      <c r="N11" s="305">
        <v>0</v>
      </c>
      <c r="O11" s="348"/>
    </row>
    <row r="12" spans="1:15">
      <c r="A12" s="36" t="s">
        <v>217</v>
      </c>
      <c r="B12" s="260"/>
      <c r="C12" s="37" t="s">
        <v>218</v>
      </c>
      <c r="D12" s="39"/>
      <c r="E12" s="258">
        <v>0</v>
      </c>
      <c r="F12" s="39"/>
      <c r="G12" s="303">
        <f t="shared" si="0"/>
        <v>0</v>
      </c>
      <c r="H12" s="304">
        <v>0</v>
      </c>
      <c r="I12" s="304">
        <v>0</v>
      </c>
      <c r="J12" s="304">
        <v>0</v>
      </c>
      <c r="K12" s="304">
        <v>0</v>
      </c>
      <c r="L12" s="304">
        <v>0</v>
      </c>
      <c r="M12" s="304">
        <v>0</v>
      </c>
      <c r="N12" s="305">
        <v>0</v>
      </c>
      <c r="O12" s="348"/>
    </row>
    <row r="13" spans="1:15">
      <c r="A13" s="40" t="s">
        <v>219</v>
      </c>
      <c r="B13" s="260"/>
      <c r="C13" s="261"/>
      <c r="D13" s="41">
        <f t="shared" ref="D13:N13" si="1">SUM(D7:D12)</f>
        <v>0</v>
      </c>
      <c r="E13" s="42">
        <f t="shared" si="1"/>
        <v>0</v>
      </c>
      <c r="F13" s="41">
        <f t="shared" si="1"/>
        <v>0</v>
      </c>
      <c r="G13" s="43">
        <f t="shared" si="1"/>
        <v>0</v>
      </c>
      <c r="H13" s="43">
        <f t="shared" si="1"/>
        <v>0</v>
      </c>
      <c r="I13" s="43">
        <f t="shared" si="1"/>
        <v>0</v>
      </c>
      <c r="J13" s="43">
        <f t="shared" si="1"/>
        <v>0</v>
      </c>
      <c r="K13" s="43">
        <f t="shared" si="1"/>
        <v>0</v>
      </c>
      <c r="L13" s="43">
        <f t="shared" si="1"/>
        <v>0</v>
      </c>
      <c r="M13" s="43">
        <f t="shared" si="1"/>
        <v>0</v>
      </c>
      <c r="N13" s="43">
        <f t="shared" si="1"/>
        <v>0</v>
      </c>
      <c r="O13" s="348"/>
    </row>
    <row r="14" spans="1:15">
      <c r="A14" s="125" t="s">
        <v>220</v>
      </c>
      <c r="B14" s="126"/>
      <c r="C14" s="127"/>
      <c r="D14" s="126"/>
      <c r="E14" s="126"/>
      <c r="F14" s="126"/>
      <c r="G14" s="87"/>
      <c r="H14" s="87"/>
      <c r="I14" s="87"/>
      <c r="J14" s="87"/>
      <c r="K14" s="87"/>
      <c r="L14" s="87"/>
      <c r="M14" s="87"/>
      <c r="N14" s="87"/>
      <c r="O14" s="87"/>
    </row>
    <row r="15" spans="1:15">
      <c r="A15" s="259" t="s">
        <v>221</v>
      </c>
      <c r="B15" s="259"/>
      <c r="C15" s="44">
        <v>253</v>
      </c>
      <c r="D15" s="45"/>
      <c r="E15" s="258"/>
      <c r="F15" s="45"/>
      <c r="G15" s="350"/>
      <c r="H15" s="304">
        <v>0</v>
      </c>
      <c r="I15" s="304">
        <v>0</v>
      </c>
      <c r="J15" s="304">
        <v>0</v>
      </c>
      <c r="K15" s="304">
        <v>0</v>
      </c>
      <c r="L15" s="304"/>
      <c r="M15" s="304"/>
      <c r="N15" s="305">
        <v>0</v>
      </c>
      <c r="O15" s="319"/>
    </row>
    <row r="16" spans="1:15">
      <c r="A16" s="259" t="s">
        <v>222</v>
      </c>
      <c r="B16" s="259"/>
      <c r="C16" s="44">
        <v>253</v>
      </c>
      <c r="D16" s="45"/>
      <c r="E16" s="258"/>
      <c r="F16" s="45"/>
      <c r="G16" s="350"/>
      <c r="H16" s="304">
        <v>0</v>
      </c>
      <c r="I16" s="304">
        <v>0</v>
      </c>
      <c r="J16" s="304">
        <v>0</v>
      </c>
      <c r="K16" s="304">
        <v>0</v>
      </c>
      <c r="L16" s="304"/>
      <c r="M16" s="304"/>
      <c r="N16" s="305">
        <v>0</v>
      </c>
      <c r="O16" s="319"/>
    </row>
    <row r="17" spans="1:15">
      <c r="A17" s="259" t="s">
        <v>223</v>
      </c>
      <c r="B17" s="259"/>
      <c r="C17" s="44">
        <v>253</v>
      </c>
      <c r="D17" s="262"/>
      <c r="E17" s="258"/>
      <c r="F17" s="262"/>
      <c r="G17" s="350"/>
      <c r="H17" s="304">
        <v>0</v>
      </c>
      <c r="I17" s="304">
        <v>0</v>
      </c>
      <c r="J17" s="304">
        <v>0</v>
      </c>
      <c r="K17" s="304">
        <v>0</v>
      </c>
      <c r="L17" s="304"/>
      <c r="M17" s="304"/>
      <c r="N17" s="305">
        <v>0</v>
      </c>
      <c r="O17" s="348"/>
    </row>
    <row r="18" spans="1:15">
      <c r="A18" s="259" t="s">
        <v>221</v>
      </c>
      <c r="B18" s="259"/>
      <c r="C18" s="44">
        <v>253</v>
      </c>
      <c r="D18" s="262"/>
      <c r="E18" s="258"/>
      <c r="F18" s="262"/>
      <c r="G18" s="350"/>
      <c r="H18" s="304">
        <v>0</v>
      </c>
      <c r="I18" s="304">
        <v>0</v>
      </c>
      <c r="J18" s="304">
        <v>0</v>
      </c>
      <c r="K18" s="304">
        <v>0</v>
      </c>
      <c r="L18" s="304"/>
      <c r="M18" s="304"/>
      <c r="N18" s="305">
        <v>0</v>
      </c>
      <c r="O18" s="318"/>
    </row>
    <row r="19" spans="1:15">
      <c r="A19" s="71" t="s">
        <v>224</v>
      </c>
      <c r="B19" s="259"/>
      <c r="C19" s="44">
        <v>253</v>
      </c>
      <c r="D19" s="262"/>
      <c r="E19" s="258"/>
      <c r="F19" s="262"/>
      <c r="G19" s="350"/>
      <c r="H19" s="304">
        <v>0</v>
      </c>
      <c r="I19" s="304">
        <v>0</v>
      </c>
      <c r="J19" s="304">
        <v>0</v>
      </c>
      <c r="K19" s="304">
        <v>0</v>
      </c>
      <c r="L19" s="304"/>
      <c r="M19" s="304"/>
      <c r="N19" s="305">
        <v>0</v>
      </c>
      <c r="O19" s="348"/>
    </row>
    <row r="20" spans="1:15">
      <c r="A20" s="40" t="s">
        <v>225</v>
      </c>
      <c r="B20" s="260"/>
      <c r="C20" s="261"/>
      <c r="D20" s="262">
        <f t="shared" ref="D20:N20" si="2">SUM(D15:D19)</f>
        <v>0</v>
      </c>
      <c r="E20" s="42">
        <f t="shared" si="2"/>
        <v>0</v>
      </c>
      <c r="F20" s="262">
        <f t="shared" si="2"/>
        <v>0</v>
      </c>
      <c r="G20" s="43">
        <f t="shared" si="2"/>
        <v>0</v>
      </c>
      <c r="H20" s="43">
        <f t="shared" si="2"/>
        <v>0</v>
      </c>
      <c r="I20" s="43">
        <f t="shared" si="2"/>
        <v>0</v>
      </c>
      <c r="J20" s="43">
        <f t="shared" si="2"/>
        <v>0</v>
      </c>
      <c r="K20" s="43">
        <f t="shared" si="2"/>
        <v>0</v>
      </c>
      <c r="L20" s="43">
        <f t="shared" si="2"/>
        <v>0</v>
      </c>
      <c r="M20" s="43">
        <f t="shared" si="2"/>
        <v>0</v>
      </c>
      <c r="N20" s="43">
        <f t="shared" si="2"/>
        <v>0</v>
      </c>
      <c r="O20" s="348"/>
    </row>
    <row r="21" spans="1:15" s="7" customFormat="1">
      <c r="A21" s="125" t="s">
        <v>226</v>
      </c>
      <c r="B21" s="126"/>
      <c r="C21" s="127"/>
      <c r="D21" s="126"/>
      <c r="E21" s="126"/>
      <c r="F21" s="126"/>
      <c r="G21" s="87"/>
      <c r="H21" s="87"/>
      <c r="I21" s="87"/>
      <c r="J21" s="87"/>
      <c r="K21" s="87"/>
      <c r="L21" s="87"/>
      <c r="M21" s="87"/>
      <c r="N21" s="87"/>
      <c r="O21" s="87"/>
    </row>
    <row r="22" spans="1:15" ht="15" customHeight="1">
      <c r="A22" s="259" t="s">
        <v>227</v>
      </c>
      <c r="B22" s="36"/>
      <c r="C22" s="37" t="s">
        <v>228</v>
      </c>
      <c r="D22" s="38">
        <v>0</v>
      </c>
      <c r="E22" s="258">
        <v>0</v>
      </c>
      <c r="F22" s="38">
        <v>0</v>
      </c>
      <c r="G22" s="303">
        <v>0</v>
      </c>
      <c r="H22" s="304">
        <v>0</v>
      </c>
      <c r="I22" s="304">
        <v>0</v>
      </c>
      <c r="J22" s="304">
        <v>0</v>
      </c>
      <c r="K22" s="304">
        <v>0</v>
      </c>
      <c r="L22" s="304">
        <v>0</v>
      </c>
      <c r="M22" s="304">
        <v>0</v>
      </c>
      <c r="N22" s="305">
        <v>0</v>
      </c>
      <c r="O22" s="348"/>
    </row>
    <row r="23" spans="1:15">
      <c r="A23" s="259" t="s">
        <v>229</v>
      </c>
      <c r="B23" s="36"/>
      <c r="C23" s="44" t="s">
        <v>230</v>
      </c>
      <c r="D23" s="45"/>
      <c r="E23" s="258">
        <v>0</v>
      </c>
      <c r="F23" s="45"/>
      <c r="G23" s="303">
        <v>0</v>
      </c>
      <c r="H23" s="304">
        <v>0</v>
      </c>
      <c r="I23" s="304">
        <v>0</v>
      </c>
      <c r="J23" s="304">
        <v>0</v>
      </c>
      <c r="K23" s="304">
        <v>0</v>
      </c>
      <c r="L23" s="304">
        <v>0</v>
      </c>
      <c r="M23" s="304">
        <v>0</v>
      </c>
      <c r="N23" s="305">
        <v>0</v>
      </c>
      <c r="O23" s="348"/>
    </row>
    <row r="24" spans="1:15">
      <c r="A24" s="259" t="s">
        <v>231</v>
      </c>
      <c r="B24" s="36"/>
      <c r="C24" s="44" t="s">
        <v>232</v>
      </c>
      <c r="D24" s="45"/>
      <c r="E24" s="258">
        <v>0</v>
      </c>
      <c r="F24" s="45"/>
      <c r="G24" s="303">
        <v>0</v>
      </c>
      <c r="H24" s="304">
        <v>0</v>
      </c>
      <c r="I24" s="304">
        <v>0</v>
      </c>
      <c r="J24" s="304">
        <v>0</v>
      </c>
      <c r="K24" s="304">
        <v>0</v>
      </c>
      <c r="L24" s="304">
        <v>0</v>
      </c>
      <c r="M24" s="304">
        <v>0</v>
      </c>
      <c r="N24" s="305">
        <v>0</v>
      </c>
      <c r="O24" s="318"/>
    </row>
    <row r="25" spans="1:15">
      <c r="A25" s="259" t="s">
        <v>233</v>
      </c>
      <c r="B25" s="36"/>
      <c r="C25" s="44" t="s">
        <v>234</v>
      </c>
      <c r="D25" s="45"/>
      <c r="E25" s="258">
        <v>0</v>
      </c>
      <c r="F25" s="45"/>
      <c r="G25" s="303">
        <v>0</v>
      </c>
      <c r="H25" s="304">
        <v>0</v>
      </c>
      <c r="I25" s="304">
        <v>0</v>
      </c>
      <c r="J25" s="304">
        <v>0</v>
      </c>
      <c r="K25" s="304">
        <v>0</v>
      </c>
      <c r="L25" s="304">
        <v>0</v>
      </c>
      <c r="M25" s="304">
        <v>0</v>
      </c>
      <c r="N25" s="305">
        <v>0</v>
      </c>
      <c r="O25" s="348"/>
    </row>
    <row r="26" spans="1:15">
      <c r="A26" s="259" t="s">
        <v>235</v>
      </c>
      <c r="B26" s="36"/>
      <c r="C26" s="44">
        <v>251</v>
      </c>
      <c r="D26" s="45"/>
      <c r="E26" s="258">
        <v>0</v>
      </c>
      <c r="F26" s="45"/>
      <c r="G26" s="303">
        <v>0</v>
      </c>
      <c r="H26" s="304">
        <v>0</v>
      </c>
      <c r="I26" s="304">
        <v>0</v>
      </c>
      <c r="J26" s="304">
        <v>0</v>
      </c>
      <c r="K26" s="304">
        <v>0</v>
      </c>
      <c r="L26" s="304">
        <v>0</v>
      </c>
      <c r="M26" s="304">
        <v>0</v>
      </c>
      <c r="N26" s="305">
        <v>0</v>
      </c>
      <c r="O26" s="348"/>
    </row>
    <row r="27" spans="1:15" ht="43.5">
      <c r="A27" s="259" t="s">
        <v>236</v>
      </c>
      <c r="B27" s="36"/>
      <c r="C27" s="44">
        <v>252</v>
      </c>
      <c r="D27" s="510">
        <v>6</v>
      </c>
      <c r="E27" s="258">
        <v>1789</v>
      </c>
      <c r="F27" s="510">
        <v>6</v>
      </c>
      <c r="G27" s="303">
        <f>SUM(H27:M27)</f>
        <v>1816</v>
      </c>
      <c r="H27" s="304">
        <v>500</v>
      </c>
      <c r="I27" s="304">
        <v>1316</v>
      </c>
      <c r="J27" s="304">
        <v>0</v>
      </c>
      <c r="K27" s="304">
        <v>0</v>
      </c>
      <c r="L27" s="304">
        <v>0</v>
      </c>
      <c r="M27" s="304">
        <v>0</v>
      </c>
      <c r="N27" s="305">
        <v>0</v>
      </c>
      <c r="O27" s="318" t="s">
        <v>1541</v>
      </c>
    </row>
    <row r="28" spans="1:15" ht="101.5">
      <c r="A28" s="259" t="s">
        <v>237</v>
      </c>
      <c r="B28" s="36"/>
      <c r="C28" s="44">
        <v>252</v>
      </c>
      <c r="D28" s="510">
        <v>35</v>
      </c>
      <c r="E28" s="258">
        <v>7808</v>
      </c>
      <c r="F28" s="510">
        <v>0</v>
      </c>
      <c r="G28" s="303">
        <f t="shared" ref="G28:G43" si="3">SUM(H28:M28)</f>
        <v>0</v>
      </c>
      <c r="H28" s="304">
        <v>0</v>
      </c>
      <c r="I28" s="304">
        <v>0</v>
      </c>
      <c r="J28" s="304">
        <v>0</v>
      </c>
      <c r="K28" s="304">
        <v>0</v>
      </c>
      <c r="L28" s="304">
        <v>0</v>
      </c>
      <c r="M28" s="304">
        <v>0</v>
      </c>
      <c r="N28" s="305">
        <v>0</v>
      </c>
      <c r="O28" s="318" t="s">
        <v>1485</v>
      </c>
    </row>
    <row r="29" spans="1:15" s="347" customFormat="1" ht="43.5">
      <c r="A29" s="259" t="s">
        <v>238</v>
      </c>
      <c r="B29" s="36"/>
      <c r="C29" s="44">
        <v>252</v>
      </c>
      <c r="D29" s="510">
        <v>1</v>
      </c>
      <c r="E29" s="258">
        <v>1481</v>
      </c>
      <c r="F29" s="510">
        <v>1</v>
      </c>
      <c r="G29" s="303">
        <f t="shared" si="3"/>
        <v>1482</v>
      </c>
      <c r="H29" s="304">
        <v>0</v>
      </c>
      <c r="I29" s="304">
        <v>1482</v>
      </c>
      <c r="J29" s="304">
        <v>0</v>
      </c>
      <c r="K29" s="304">
        <v>0</v>
      </c>
      <c r="L29" s="304"/>
      <c r="M29" s="304"/>
      <c r="N29" s="305"/>
      <c r="O29" s="318" t="s">
        <v>1480</v>
      </c>
    </row>
    <row r="30" spans="1:15" ht="72.5">
      <c r="A30" s="259" t="s">
        <v>239</v>
      </c>
      <c r="B30" s="36"/>
      <c r="C30" s="44">
        <v>252</v>
      </c>
      <c r="D30" s="510">
        <v>9</v>
      </c>
      <c r="E30" s="258">
        <v>6253</v>
      </c>
      <c r="F30" s="510">
        <v>9</v>
      </c>
      <c r="G30" s="303">
        <f t="shared" si="3"/>
        <v>8050</v>
      </c>
      <c r="H30" s="304">
        <v>0</v>
      </c>
      <c r="I30" s="304">
        <v>6700</v>
      </c>
      <c r="J30" s="304"/>
      <c r="K30" s="304">
        <v>1350</v>
      </c>
      <c r="L30" s="304">
        <v>0</v>
      </c>
      <c r="M30" s="304">
        <v>0</v>
      </c>
      <c r="N30" s="305">
        <v>0</v>
      </c>
      <c r="O30" s="318" t="s">
        <v>1538</v>
      </c>
    </row>
    <row r="31" spans="1:15" ht="87">
      <c r="A31" s="259" t="s">
        <v>240</v>
      </c>
      <c r="B31" s="36"/>
      <c r="C31" s="44">
        <v>252</v>
      </c>
      <c r="D31" s="510">
        <v>29</v>
      </c>
      <c r="E31" s="258">
        <v>10387</v>
      </c>
      <c r="F31" s="510">
        <v>29</v>
      </c>
      <c r="G31" s="303">
        <f t="shared" si="3"/>
        <v>12290</v>
      </c>
      <c r="H31" s="304">
        <v>3322</v>
      </c>
      <c r="I31" s="304">
        <v>6156</v>
      </c>
      <c r="J31" s="304"/>
      <c r="K31" s="304">
        <v>2812</v>
      </c>
      <c r="L31" s="304">
        <v>0</v>
      </c>
      <c r="M31" s="304"/>
      <c r="N31" s="305">
        <v>0</v>
      </c>
      <c r="O31" s="367" t="s">
        <v>1539</v>
      </c>
    </row>
    <row r="32" spans="1:15" ht="130.5">
      <c r="A32" s="259" t="s">
        <v>241</v>
      </c>
      <c r="B32" s="36"/>
      <c r="C32" s="44">
        <v>252</v>
      </c>
      <c r="D32" s="510">
        <v>30</v>
      </c>
      <c r="E32" s="258">
        <v>10602</v>
      </c>
      <c r="F32" s="510">
        <v>30</v>
      </c>
      <c r="G32" s="303">
        <f t="shared" si="3"/>
        <v>12227</v>
      </c>
      <c r="H32" s="304">
        <v>2500</v>
      </c>
      <c r="I32" s="304">
        <v>9727</v>
      </c>
      <c r="J32" s="304"/>
      <c r="K32" s="304"/>
      <c r="L32" s="304">
        <v>0</v>
      </c>
      <c r="M32" s="304">
        <v>0</v>
      </c>
      <c r="N32" s="305">
        <v>0</v>
      </c>
      <c r="O32" s="318" t="s">
        <v>1481</v>
      </c>
    </row>
    <row r="33" spans="1:15">
      <c r="A33" s="259" t="s">
        <v>242</v>
      </c>
      <c r="B33" s="36"/>
      <c r="C33" s="44">
        <v>252</v>
      </c>
      <c r="D33" s="45"/>
      <c r="E33" s="258">
        <v>0</v>
      </c>
      <c r="F33" s="45"/>
      <c r="G33" s="303">
        <f t="shared" si="3"/>
        <v>0</v>
      </c>
      <c r="H33" s="304">
        <v>0</v>
      </c>
      <c r="I33" s="304">
        <v>0</v>
      </c>
      <c r="J33" s="304">
        <v>0</v>
      </c>
      <c r="K33" s="304">
        <v>0</v>
      </c>
      <c r="L33" s="304">
        <v>0</v>
      </c>
      <c r="M33" s="304">
        <v>0</v>
      </c>
      <c r="N33" s="305">
        <v>0</v>
      </c>
      <c r="O33" s="348"/>
    </row>
    <row r="34" spans="1:15">
      <c r="A34" s="259" t="s">
        <v>242</v>
      </c>
      <c r="B34" s="36"/>
      <c r="C34" s="44">
        <v>252</v>
      </c>
      <c r="D34" s="45"/>
      <c r="E34" s="258">
        <v>0</v>
      </c>
      <c r="F34" s="45"/>
      <c r="G34" s="303">
        <f t="shared" si="3"/>
        <v>0</v>
      </c>
      <c r="H34" s="304">
        <v>0</v>
      </c>
      <c r="I34" s="304">
        <v>0</v>
      </c>
      <c r="J34" s="304">
        <v>0</v>
      </c>
      <c r="K34" s="304">
        <v>0</v>
      </c>
      <c r="L34" s="304">
        <v>0</v>
      </c>
      <c r="M34" s="304">
        <v>0</v>
      </c>
      <c r="N34" s="305">
        <v>0</v>
      </c>
      <c r="O34" s="348"/>
    </row>
    <row r="35" spans="1:15">
      <c r="A35" s="259" t="s">
        <v>242</v>
      </c>
      <c r="B35" s="36"/>
      <c r="C35" s="44">
        <v>252</v>
      </c>
      <c r="D35" s="45"/>
      <c r="E35" s="258">
        <v>0</v>
      </c>
      <c r="F35" s="45"/>
      <c r="G35" s="303">
        <f t="shared" si="3"/>
        <v>0</v>
      </c>
      <c r="H35" s="304">
        <v>0</v>
      </c>
      <c r="I35" s="304">
        <v>0</v>
      </c>
      <c r="J35" s="304">
        <v>0</v>
      </c>
      <c r="K35" s="304">
        <v>0</v>
      </c>
      <c r="L35" s="304">
        <v>0</v>
      </c>
      <c r="M35" s="304">
        <v>0</v>
      </c>
      <c r="N35" s="305">
        <v>0</v>
      </c>
      <c r="O35" s="348"/>
    </row>
    <row r="36" spans="1:15">
      <c r="A36" s="259" t="s">
        <v>243</v>
      </c>
      <c r="B36" s="36"/>
      <c r="C36" s="44">
        <v>252</v>
      </c>
      <c r="D36" s="45"/>
      <c r="E36" s="258">
        <v>0</v>
      </c>
      <c r="F36" s="45"/>
      <c r="G36" s="303">
        <f t="shared" si="3"/>
        <v>0</v>
      </c>
      <c r="H36" s="304">
        <v>0</v>
      </c>
      <c r="I36" s="304">
        <v>0</v>
      </c>
      <c r="J36" s="304">
        <v>0</v>
      </c>
      <c r="K36" s="304">
        <v>0</v>
      </c>
      <c r="L36" s="304">
        <v>0</v>
      </c>
      <c r="M36" s="304">
        <v>0</v>
      </c>
      <c r="N36" s="305">
        <v>0</v>
      </c>
      <c r="O36" s="348"/>
    </row>
    <row r="37" spans="1:15" ht="29">
      <c r="A37" s="530" t="s">
        <v>244</v>
      </c>
      <c r="B37" s="57"/>
      <c r="C37" s="597">
        <v>253</v>
      </c>
      <c r="D37" s="530"/>
      <c r="E37" s="258">
        <v>0</v>
      </c>
      <c r="F37" s="530">
        <v>5</v>
      </c>
      <c r="G37" s="303">
        <f t="shared" si="3"/>
        <v>996</v>
      </c>
      <c r="H37" s="304">
        <v>0</v>
      </c>
      <c r="I37" s="304">
        <v>996</v>
      </c>
      <c r="J37" s="304">
        <v>0</v>
      </c>
      <c r="K37" s="304">
        <v>0</v>
      </c>
      <c r="L37" s="304">
        <v>0</v>
      </c>
      <c r="M37" s="304">
        <v>0</v>
      </c>
      <c r="N37" s="305">
        <v>0</v>
      </c>
      <c r="O37" s="318" t="s">
        <v>1540</v>
      </c>
    </row>
    <row r="38" spans="1:15">
      <c r="A38" s="259" t="s">
        <v>245</v>
      </c>
      <c r="B38" s="36"/>
      <c r="C38" s="44">
        <v>255</v>
      </c>
      <c r="D38" s="259"/>
      <c r="E38" s="258">
        <v>0</v>
      </c>
      <c r="F38" s="259"/>
      <c r="G38" s="303">
        <f t="shared" si="3"/>
        <v>0</v>
      </c>
      <c r="H38" s="304">
        <v>0</v>
      </c>
      <c r="I38" s="304">
        <v>0</v>
      </c>
      <c r="J38" s="304">
        <v>0</v>
      </c>
      <c r="K38" s="304">
        <v>0</v>
      </c>
      <c r="L38" s="304">
        <v>0</v>
      </c>
      <c r="M38" s="304">
        <v>0</v>
      </c>
      <c r="N38" s="305">
        <v>0</v>
      </c>
      <c r="O38" s="348"/>
    </row>
    <row r="39" spans="1:15">
      <c r="A39" s="259" t="s">
        <v>246</v>
      </c>
      <c r="B39" s="36"/>
      <c r="C39" s="44">
        <v>256</v>
      </c>
      <c r="D39" s="259"/>
      <c r="E39" s="258">
        <v>0</v>
      </c>
      <c r="F39" s="259"/>
      <c r="G39" s="303">
        <f t="shared" si="3"/>
        <v>0</v>
      </c>
      <c r="H39" s="304">
        <v>0</v>
      </c>
      <c r="I39" s="304">
        <v>0</v>
      </c>
      <c r="J39" s="304">
        <v>0</v>
      </c>
      <c r="K39" s="304">
        <v>0</v>
      </c>
      <c r="L39" s="304">
        <v>0</v>
      </c>
      <c r="M39" s="304">
        <v>0</v>
      </c>
      <c r="N39" s="305">
        <v>0</v>
      </c>
      <c r="O39" s="348"/>
    </row>
    <row r="40" spans="1:15">
      <c r="A40" s="259" t="s">
        <v>247</v>
      </c>
      <c r="B40" s="36"/>
      <c r="C40" s="44">
        <v>257</v>
      </c>
      <c r="D40" s="259"/>
      <c r="E40" s="258">
        <v>0</v>
      </c>
      <c r="F40" s="259"/>
      <c r="G40" s="303">
        <f t="shared" si="3"/>
        <v>0</v>
      </c>
      <c r="H40" s="304">
        <v>0</v>
      </c>
      <c r="I40" s="304">
        <v>0</v>
      </c>
      <c r="J40" s="304">
        <v>0</v>
      </c>
      <c r="K40" s="304">
        <v>0</v>
      </c>
      <c r="L40" s="304">
        <v>0</v>
      </c>
      <c r="M40" s="304">
        <v>0</v>
      </c>
      <c r="N40" s="305">
        <v>0</v>
      </c>
      <c r="O40" s="348"/>
    </row>
    <row r="41" spans="1:15">
      <c r="A41" s="259" t="s">
        <v>248</v>
      </c>
      <c r="B41" s="36"/>
      <c r="C41" s="44" t="s">
        <v>249</v>
      </c>
      <c r="D41" s="259"/>
      <c r="E41" s="258">
        <v>0</v>
      </c>
      <c r="F41" s="259"/>
      <c r="G41" s="303">
        <f t="shared" si="3"/>
        <v>0</v>
      </c>
      <c r="H41" s="304">
        <v>0</v>
      </c>
      <c r="I41" s="304">
        <v>0</v>
      </c>
      <c r="J41" s="304">
        <v>0</v>
      </c>
      <c r="K41" s="304">
        <v>0</v>
      </c>
      <c r="L41" s="304">
        <v>0</v>
      </c>
      <c r="M41" s="304">
        <v>0</v>
      </c>
      <c r="N41" s="305">
        <v>0</v>
      </c>
      <c r="O41" s="348"/>
    </row>
    <row r="42" spans="1:15" s="370" customFormat="1">
      <c r="A42" s="601" t="s">
        <v>250</v>
      </c>
      <c r="B42" s="57"/>
      <c r="C42" s="621" t="s">
        <v>251</v>
      </c>
      <c r="D42" s="601"/>
      <c r="E42" s="258">
        <v>0</v>
      </c>
      <c r="F42" s="601"/>
      <c r="G42" s="303">
        <f t="shared" si="3"/>
        <v>0</v>
      </c>
      <c r="H42" s="304">
        <v>0</v>
      </c>
      <c r="I42" s="304">
        <v>0</v>
      </c>
      <c r="J42" s="304">
        <v>0</v>
      </c>
      <c r="K42" s="304">
        <v>0</v>
      </c>
      <c r="L42" s="304">
        <v>0</v>
      </c>
      <c r="M42" s="304">
        <v>0</v>
      </c>
      <c r="N42" s="305">
        <v>0</v>
      </c>
      <c r="O42" s="348"/>
    </row>
    <row r="43" spans="1:15" s="370" customFormat="1">
      <c r="A43" s="601" t="s">
        <v>252</v>
      </c>
      <c r="B43" s="57"/>
      <c r="C43" s="621" t="s">
        <v>253</v>
      </c>
      <c r="D43" s="601"/>
      <c r="E43" s="258">
        <v>0</v>
      </c>
      <c r="F43" s="601"/>
      <c r="G43" s="303">
        <f t="shared" si="3"/>
        <v>0</v>
      </c>
      <c r="H43" s="304">
        <v>0</v>
      </c>
      <c r="I43" s="304">
        <v>0</v>
      </c>
      <c r="J43" s="304">
        <v>0</v>
      </c>
      <c r="K43" s="304">
        <v>0</v>
      </c>
      <c r="L43" s="304">
        <v>0</v>
      </c>
      <c r="M43" s="304">
        <v>0</v>
      </c>
      <c r="N43" s="305">
        <v>0</v>
      </c>
      <c r="O43" s="318"/>
    </row>
    <row r="44" spans="1:15">
      <c r="A44" s="40" t="s">
        <v>254</v>
      </c>
      <c r="B44" s="260"/>
      <c r="C44" s="261"/>
      <c r="D44" s="359">
        <f>SUM(D27:D43)</f>
        <v>110</v>
      </c>
      <c r="E44" s="42">
        <f t="shared" ref="E44:N44" si="4">SUM(E22:E43)</f>
        <v>38320</v>
      </c>
      <c r="F44" s="359">
        <f>SUM(F27:F43)</f>
        <v>80</v>
      </c>
      <c r="G44" s="43">
        <f t="shared" si="4"/>
        <v>36861</v>
      </c>
      <c r="H44" s="43">
        <f t="shared" si="4"/>
        <v>6322</v>
      </c>
      <c r="I44" s="43">
        <f t="shared" si="4"/>
        <v>26377</v>
      </c>
      <c r="J44" s="43">
        <f t="shared" si="4"/>
        <v>0</v>
      </c>
      <c r="K44" s="43">
        <f>SUM(K22:K43)</f>
        <v>4162</v>
      </c>
      <c r="L44" s="43">
        <f t="shared" si="4"/>
        <v>0</v>
      </c>
      <c r="M44" s="43">
        <f t="shared" si="4"/>
        <v>0</v>
      </c>
      <c r="N44" s="43">
        <f t="shared" si="4"/>
        <v>0</v>
      </c>
      <c r="O44" s="348"/>
    </row>
    <row r="45" spans="1:15">
      <c r="A45" s="40" t="s">
        <v>255</v>
      </c>
      <c r="B45" s="51"/>
      <c r="C45" s="147"/>
      <c r="D45" s="262"/>
      <c r="E45" s="236"/>
      <c r="F45" s="262"/>
      <c r="G45" s="235">
        <f>SUM(H45:M45)</f>
        <v>0</v>
      </c>
      <c r="H45" s="235"/>
      <c r="I45" s="235"/>
      <c r="J45" s="235"/>
      <c r="K45" s="235"/>
      <c r="L45" s="235"/>
      <c r="M45" s="235">
        <v>0</v>
      </c>
      <c r="N45" s="235"/>
      <c r="O45" s="348"/>
    </row>
    <row r="46" spans="1:15">
      <c r="A46" s="40" t="s">
        <v>256</v>
      </c>
      <c r="B46" s="46"/>
      <c r="C46" s="47"/>
      <c r="D46" s="48"/>
      <c r="E46" s="42">
        <f>E44+E20+E13-E45</f>
        <v>38320</v>
      </c>
      <c r="F46" s="48"/>
      <c r="G46" s="17">
        <f t="shared" ref="G46:N46" si="5">G44+G20+G13-G45</f>
        <v>36861</v>
      </c>
      <c r="H46" s="17">
        <f t="shared" si="5"/>
        <v>6322</v>
      </c>
      <c r="I46" s="17">
        <f t="shared" si="5"/>
        <v>26377</v>
      </c>
      <c r="J46" s="17">
        <f t="shared" si="5"/>
        <v>0</v>
      </c>
      <c r="K46" s="17">
        <f t="shared" si="5"/>
        <v>4162</v>
      </c>
      <c r="L46" s="17">
        <f t="shared" si="5"/>
        <v>0</v>
      </c>
      <c r="M46" s="17">
        <f t="shared" si="5"/>
        <v>0</v>
      </c>
      <c r="N46" s="17">
        <f t="shared" si="5"/>
        <v>0</v>
      </c>
      <c r="O46" s="346"/>
    </row>
    <row r="47" spans="1:15" s="370" customFormat="1">
      <c r="C47" s="826"/>
      <c r="G47" s="257"/>
      <c r="I47" s="257"/>
    </row>
    <row r="48" spans="1:15" s="370" customFormat="1" ht="15" customHeight="1">
      <c r="A48" s="855" t="s">
        <v>1543</v>
      </c>
      <c r="B48" s="856"/>
      <c r="C48" s="856"/>
      <c r="D48" s="856"/>
      <c r="E48" s="856"/>
      <c r="F48" s="856"/>
      <c r="G48" s="856"/>
      <c r="H48" s="856"/>
      <c r="I48" s="856"/>
      <c r="J48" s="856"/>
      <c r="K48" s="856"/>
      <c r="L48" s="856"/>
      <c r="M48" s="856"/>
      <c r="N48" s="856"/>
      <c r="O48" s="857"/>
    </row>
    <row r="49" spans="1:15" s="370" customFormat="1">
      <c r="A49" s="858"/>
      <c r="B49" s="859"/>
      <c r="C49" s="859"/>
      <c r="D49" s="859"/>
      <c r="E49" s="859"/>
      <c r="F49" s="859"/>
      <c r="G49" s="859"/>
      <c r="H49" s="859"/>
      <c r="I49" s="859"/>
      <c r="J49" s="859"/>
      <c r="K49" s="859"/>
      <c r="L49" s="859"/>
      <c r="M49" s="859"/>
      <c r="N49" s="859"/>
      <c r="O49" s="860"/>
    </row>
    <row r="50" spans="1:15" s="370" customFormat="1">
      <c r="A50" s="861"/>
      <c r="B50" s="862"/>
      <c r="C50" s="862"/>
      <c r="D50" s="862"/>
      <c r="E50" s="862"/>
      <c r="F50" s="862"/>
      <c r="G50" s="862"/>
      <c r="H50" s="862"/>
      <c r="I50" s="862"/>
      <c r="J50" s="862"/>
      <c r="K50" s="862"/>
      <c r="L50" s="862"/>
      <c r="M50" s="862"/>
      <c r="N50" s="862"/>
      <c r="O50" s="863"/>
    </row>
    <row r="51" spans="1:15" s="370" customFormat="1" ht="15" customHeight="1">
      <c r="A51" s="864"/>
      <c r="B51" s="865"/>
      <c r="C51" s="865"/>
      <c r="D51" s="865"/>
      <c r="E51" s="865"/>
      <c r="F51" s="865"/>
      <c r="G51" s="865"/>
      <c r="H51" s="865"/>
      <c r="I51" s="865"/>
      <c r="J51" s="865"/>
      <c r="K51" s="865"/>
      <c r="L51" s="865"/>
      <c r="M51" s="865"/>
      <c r="N51" s="865"/>
      <c r="O51" s="866"/>
    </row>
    <row r="52" spans="1:15" s="370" customFormat="1">
      <c r="A52" s="867"/>
      <c r="B52" s="868"/>
      <c r="C52" s="868"/>
      <c r="D52" s="868"/>
      <c r="E52" s="868"/>
      <c r="F52" s="868"/>
      <c r="G52" s="868"/>
      <c r="H52" s="868"/>
      <c r="I52" s="868"/>
      <c r="J52" s="868"/>
      <c r="K52" s="868"/>
      <c r="L52" s="868"/>
      <c r="M52" s="868"/>
      <c r="N52" s="868"/>
      <c r="O52" s="869"/>
    </row>
    <row r="53" spans="1:15" s="370" customFormat="1">
      <c r="A53" s="867"/>
      <c r="B53" s="868"/>
      <c r="C53" s="868"/>
      <c r="D53" s="868"/>
      <c r="E53" s="868"/>
      <c r="F53" s="868"/>
      <c r="G53" s="868"/>
      <c r="H53" s="868"/>
      <c r="I53" s="868"/>
      <c r="J53" s="868"/>
      <c r="K53" s="868"/>
      <c r="L53" s="868"/>
      <c r="M53" s="868"/>
      <c r="N53" s="868"/>
      <c r="O53" s="869"/>
    </row>
    <row r="54" spans="1:15" s="370" customFormat="1">
      <c r="A54" s="870"/>
      <c r="B54" s="871"/>
      <c r="C54" s="871"/>
      <c r="D54" s="871"/>
      <c r="E54" s="871"/>
      <c r="F54" s="871"/>
      <c r="G54" s="871"/>
      <c r="H54" s="871"/>
      <c r="I54" s="871"/>
      <c r="J54" s="871"/>
      <c r="K54" s="871"/>
      <c r="L54" s="871"/>
      <c r="M54" s="871"/>
      <c r="N54" s="871"/>
      <c r="O54" s="872"/>
    </row>
    <row r="55" spans="1:15" s="370" customFormat="1" ht="15" customHeight="1">
      <c r="A55" s="864"/>
      <c r="B55" s="865"/>
      <c r="C55" s="865"/>
      <c r="D55" s="865"/>
      <c r="E55" s="865"/>
      <c r="F55" s="865"/>
      <c r="G55" s="865"/>
      <c r="H55" s="865"/>
      <c r="I55" s="865"/>
      <c r="J55" s="865"/>
      <c r="K55" s="865"/>
      <c r="L55" s="865"/>
      <c r="M55" s="865"/>
      <c r="N55" s="865"/>
      <c r="O55" s="866"/>
    </row>
    <row r="56" spans="1:15" s="370" customFormat="1">
      <c r="A56" s="867"/>
      <c r="B56" s="868"/>
      <c r="C56" s="868"/>
      <c r="D56" s="868"/>
      <c r="E56" s="868"/>
      <c r="F56" s="868"/>
      <c r="G56" s="868"/>
      <c r="H56" s="868"/>
      <c r="I56" s="868"/>
      <c r="J56" s="868"/>
      <c r="K56" s="868"/>
      <c r="L56" s="868"/>
      <c r="M56" s="868"/>
      <c r="N56" s="868"/>
      <c r="O56" s="869"/>
    </row>
    <row r="57" spans="1:15" s="370" customFormat="1">
      <c r="A57" s="867"/>
      <c r="B57" s="868"/>
      <c r="C57" s="868"/>
      <c r="D57" s="868"/>
      <c r="E57" s="868"/>
      <c r="F57" s="868"/>
      <c r="G57" s="868"/>
      <c r="H57" s="868"/>
      <c r="I57" s="868"/>
      <c r="J57" s="868"/>
      <c r="K57" s="868"/>
      <c r="L57" s="868"/>
      <c r="M57" s="868"/>
      <c r="N57" s="868"/>
      <c r="O57" s="869"/>
    </row>
    <row r="58" spans="1:15" s="370" customFormat="1">
      <c r="A58" s="870"/>
      <c r="B58" s="871"/>
      <c r="C58" s="871"/>
      <c r="D58" s="871"/>
      <c r="E58" s="871"/>
      <c r="F58" s="871"/>
      <c r="G58" s="871"/>
      <c r="H58" s="871"/>
      <c r="I58" s="871"/>
      <c r="J58" s="871"/>
      <c r="K58" s="871"/>
      <c r="L58" s="871"/>
      <c r="M58" s="871"/>
      <c r="N58" s="871"/>
      <c r="O58" s="872"/>
    </row>
    <row r="59" spans="1:15" s="370" customFormat="1">
      <c r="C59" s="826"/>
      <c r="E59" s="257">
        <f>E46-E28</f>
        <v>30512</v>
      </c>
      <c r="G59" s="257">
        <f>E46-G46</f>
        <v>1459</v>
      </c>
    </row>
    <row r="60" spans="1:15" s="370" customFormat="1" ht="15" thickBot="1">
      <c r="C60" s="826"/>
    </row>
    <row r="61" spans="1:15" s="370" customFormat="1" ht="15.5">
      <c r="A61" s="873" t="s">
        <v>257</v>
      </c>
      <c r="B61" s="874"/>
      <c r="C61" s="874"/>
      <c r="D61" s="874"/>
      <c r="E61" s="874"/>
      <c r="F61" s="874"/>
      <c r="G61" s="550"/>
      <c r="H61" s="31"/>
      <c r="I61" s="31"/>
      <c r="J61" s="31"/>
      <c r="K61" s="31"/>
      <c r="L61" s="31"/>
      <c r="M61" s="31"/>
      <c r="N61" s="536"/>
    </row>
    <row r="62" spans="1:15" s="370" customFormat="1" ht="15.5">
      <c r="A62" s="875"/>
      <c r="B62" s="876"/>
      <c r="C62" s="876"/>
      <c r="D62" s="876"/>
      <c r="E62" s="876"/>
      <c r="F62" s="876"/>
      <c r="G62" s="551"/>
      <c r="H62" s="31"/>
      <c r="I62" s="31"/>
      <c r="J62" s="31"/>
      <c r="K62" s="31"/>
      <c r="L62" s="31"/>
      <c r="M62" s="31"/>
      <c r="N62" s="536"/>
    </row>
    <row r="63" spans="1:15" s="370" customFormat="1">
      <c r="A63" s="877" t="s">
        <v>258</v>
      </c>
      <c r="B63" s="878"/>
      <c r="C63" s="552"/>
      <c r="D63" s="552"/>
      <c r="E63" s="552"/>
      <c r="F63" s="552"/>
      <c r="G63" s="551"/>
      <c r="H63" s="31"/>
      <c r="I63" s="31"/>
      <c r="J63" s="31"/>
      <c r="K63" s="31"/>
      <c r="L63" s="31"/>
      <c r="M63" s="31"/>
      <c r="N63" s="536"/>
    </row>
    <row r="64" spans="1:15" s="370" customFormat="1">
      <c r="A64" s="553" t="s">
        <v>1009</v>
      </c>
      <c r="B64" s="554">
        <f>+E46</f>
        <v>38320</v>
      </c>
      <c r="C64" s="555"/>
      <c r="D64" s="556"/>
      <c r="E64" s="556"/>
      <c r="F64" s="556"/>
      <c r="G64" s="551"/>
      <c r="H64" s="31"/>
      <c r="I64" s="31"/>
      <c r="J64" s="31"/>
      <c r="K64" s="31"/>
      <c r="L64" s="31"/>
      <c r="M64" s="31"/>
      <c r="N64" s="536"/>
    </row>
    <row r="65" spans="1:14" s="370" customFormat="1">
      <c r="A65" s="557" t="s">
        <v>1010</v>
      </c>
      <c r="B65" s="558">
        <f>+G46</f>
        <v>36861</v>
      </c>
      <c r="C65" s="555"/>
      <c r="D65" s="556"/>
      <c r="E65" s="556"/>
      <c r="F65" s="556"/>
      <c r="G65" s="551"/>
      <c r="H65" s="31"/>
      <c r="I65" s="31"/>
      <c r="J65" s="31"/>
      <c r="K65" s="31"/>
      <c r="L65" s="31"/>
      <c r="M65" s="31"/>
      <c r="N65" s="536"/>
    </row>
    <row r="66" spans="1:14" s="370" customFormat="1">
      <c r="A66" s="559" t="s">
        <v>259</v>
      </c>
      <c r="B66" s="560">
        <f>+B65-B64</f>
        <v>-1459</v>
      </c>
      <c r="C66" s="555"/>
      <c r="D66" s="556"/>
      <c r="E66" s="556"/>
      <c r="F66" s="556"/>
      <c r="G66" s="551"/>
      <c r="H66" s="31"/>
      <c r="I66" s="31"/>
      <c r="J66" s="31"/>
      <c r="K66" s="31"/>
      <c r="L66" s="31"/>
      <c r="M66" s="31"/>
      <c r="N66" s="536"/>
    </row>
    <row r="67" spans="1:14" s="370" customFormat="1">
      <c r="A67" s="559" t="s">
        <v>260</v>
      </c>
      <c r="B67" s="561">
        <f>+B66/B64</f>
        <v>-3.8074112734864302E-2</v>
      </c>
      <c r="C67" s="555"/>
      <c r="D67" s="556"/>
      <c r="E67" s="556"/>
      <c r="F67" s="556"/>
      <c r="G67" s="551"/>
      <c r="H67" s="31"/>
      <c r="I67" s="31"/>
      <c r="J67" s="31"/>
      <c r="K67" s="31"/>
      <c r="L67" s="31"/>
      <c r="M67" s="31"/>
      <c r="N67" s="536"/>
    </row>
    <row r="68" spans="1:14" s="370" customFormat="1">
      <c r="A68" s="562"/>
      <c r="B68" s="556"/>
      <c r="C68" s="825"/>
      <c r="D68" s="556"/>
      <c r="E68" s="556"/>
      <c r="F68" s="556"/>
      <c r="G68" s="551"/>
      <c r="H68" s="31"/>
      <c r="I68" s="31"/>
      <c r="J68" s="31"/>
      <c r="K68" s="31"/>
      <c r="L68" s="31"/>
      <c r="M68" s="31"/>
      <c r="N68" s="536"/>
    </row>
    <row r="69" spans="1:14" s="370" customFormat="1">
      <c r="A69" s="879" t="s">
        <v>261</v>
      </c>
      <c r="B69" s="880"/>
      <c r="C69" s="880"/>
      <c r="D69" s="880"/>
      <c r="E69" s="880"/>
      <c r="F69" s="880"/>
      <c r="G69" s="551"/>
      <c r="H69" s="31"/>
      <c r="I69" s="31"/>
      <c r="J69" s="31"/>
      <c r="K69" s="31"/>
      <c r="L69" s="31"/>
      <c r="M69" s="31"/>
      <c r="N69" s="536"/>
    </row>
    <row r="70" spans="1:14" s="370" customFormat="1" ht="27" customHeight="1">
      <c r="A70" s="881" t="s">
        <v>1140</v>
      </c>
      <c r="B70" s="882"/>
      <c r="C70" s="882"/>
      <c r="D70" s="882"/>
      <c r="E70" s="882"/>
      <c r="F70" s="883"/>
      <c r="G70" s="551"/>
      <c r="H70" s="31"/>
      <c r="I70" s="31"/>
      <c r="J70" s="31"/>
      <c r="K70" s="31"/>
      <c r="L70" s="31"/>
      <c r="M70" s="31"/>
      <c r="N70" s="536"/>
    </row>
    <row r="71" spans="1:14" s="370" customFormat="1">
      <c r="A71" s="563"/>
      <c r="B71" s="564"/>
      <c r="C71" s="564"/>
      <c r="D71" s="564"/>
      <c r="E71" s="564"/>
      <c r="F71" s="564"/>
      <c r="G71" s="551"/>
      <c r="H71" s="31"/>
      <c r="I71" s="31"/>
      <c r="J71" s="31"/>
      <c r="K71" s="31"/>
      <c r="L71" s="31"/>
      <c r="M71" s="31"/>
      <c r="N71" s="536"/>
    </row>
    <row r="72" spans="1:14" s="370" customFormat="1">
      <c r="A72" s="565" t="s">
        <v>262</v>
      </c>
      <c r="B72" s="556"/>
      <c r="C72" s="825"/>
      <c r="D72" s="556"/>
      <c r="E72" s="556"/>
      <c r="F72" s="556"/>
      <c r="G72" s="551"/>
      <c r="H72" s="31"/>
      <c r="I72" s="31"/>
      <c r="J72" s="31"/>
      <c r="K72" s="31"/>
      <c r="L72" s="31"/>
      <c r="M72" s="31"/>
      <c r="N72" s="536"/>
    </row>
    <row r="73" spans="1:14" s="370" customFormat="1">
      <c r="A73" s="884"/>
      <c r="B73" s="885"/>
      <c r="C73" s="885"/>
      <c r="D73" s="885"/>
      <c r="E73" s="885"/>
      <c r="F73" s="886"/>
      <c r="G73" s="551"/>
      <c r="H73" s="31"/>
      <c r="I73" s="31"/>
      <c r="J73" s="31"/>
      <c r="K73" s="31"/>
      <c r="L73" s="31"/>
      <c r="M73" s="31"/>
      <c r="N73" s="536"/>
    </row>
    <row r="74" spans="1:14" s="370" customFormat="1">
      <c r="A74" s="562"/>
      <c r="B74" s="556"/>
      <c r="C74" s="825"/>
      <c r="D74" s="556"/>
      <c r="E74" s="556"/>
      <c r="F74" s="556"/>
      <c r="G74" s="551"/>
      <c r="H74" s="31"/>
      <c r="I74" s="31"/>
      <c r="J74" s="31"/>
      <c r="K74" s="31"/>
      <c r="L74" s="31"/>
      <c r="M74" s="31"/>
      <c r="N74" s="536"/>
    </row>
    <row r="75" spans="1:14" s="370" customFormat="1">
      <c r="A75" s="879" t="s">
        <v>1020</v>
      </c>
      <c r="B75" s="880"/>
      <c r="C75" s="880"/>
      <c r="D75" s="880"/>
      <c r="E75" s="880"/>
      <c r="F75" s="880"/>
      <c r="G75" s="551"/>
      <c r="H75" s="31"/>
      <c r="I75" s="31"/>
      <c r="J75" s="31"/>
      <c r="K75" s="31"/>
      <c r="L75" s="31"/>
      <c r="M75" s="31"/>
      <c r="N75" s="536"/>
    </row>
    <row r="76" spans="1:14" s="370" customFormat="1">
      <c r="A76" s="887" t="s">
        <v>1021</v>
      </c>
      <c r="B76" s="888"/>
      <c r="C76" s="888"/>
      <c r="D76" s="888"/>
      <c r="E76" s="888"/>
      <c r="F76" s="888"/>
      <c r="G76" s="551"/>
      <c r="H76" s="31"/>
      <c r="I76" s="31"/>
      <c r="J76" s="31"/>
      <c r="K76" s="31"/>
      <c r="L76" s="31"/>
      <c r="M76" s="31"/>
      <c r="N76" s="536"/>
    </row>
    <row r="77" spans="1:14" s="370" customFormat="1" ht="30" customHeight="1">
      <c r="A77" s="881" t="s">
        <v>1141</v>
      </c>
      <c r="B77" s="882"/>
      <c r="C77" s="882"/>
      <c r="D77" s="882"/>
      <c r="E77" s="882"/>
      <c r="F77" s="883"/>
      <c r="G77" s="551"/>
      <c r="H77" s="31"/>
      <c r="I77" s="31"/>
      <c r="J77" s="31"/>
      <c r="K77" s="31"/>
      <c r="L77" s="31"/>
      <c r="M77" s="31"/>
      <c r="N77" s="536"/>
    </row>
    <row r="78" spans="1:14" s="370" customFormat="1">
      <c r="A78" s="565"/>
      <c r="B78" s="556"/>
      <c r="C78" s="825"/>
      <c r="D78" s="556"/>
      <c r="E78" s="556"/>
      <c r="F78" s="556"/>
      <c r="G78" s="551"/>
      <c r="H78" s="31"/>
      <c r="I78" s="31"/>
      <c r="J78" s="31"/>
      <c r="K78" s="31"/>
      <c r="L78" s="31"/>
      <c r="M78" s="31"/>
      <c r="N78" s="536"/>
    </row>
    <row r="79" spans="1:14" s="370" customFormat="1">
      <c r="A79" s="879" t="s">
        <v>264</v>
      </c>
      <c r="B79" s="880"/>
      <c r="C79" s="880"/>
      <c r="D79" s="880"/>
      <c r="E79" s="880"/>
      <c r="F79" s="556"/>
      <c r="G79" s="551"/>
      <c r="H79" s="31"/>
      <c r="I79" s="31"/>
      <c r="J79" s="31"/>
      <c r="K79" s="31"/>
      <c r="L79" s="31"/>
      <c r="M79" s="31"/>
      <c r="N79" s="536"/>
    </row>
    <row r="80" spans="1:14" s="370" customFormat="1">
      <c r="A80" s="889"/>
      <c r="B80" s="890"/>
      <c r="C80" s="890"/>
      <c r="D80" s="890"/>
      <c r="E80" s="890"/>
      <c r="F80" s="891"/>
      <c r="G80" s="551"/>
      <c r="H80" s="31"/>
      <c r="I80" s="31"/>
      <c r="J80" s="31"/>
      <c r="K80" s="31"/>
      <c r="L80" s="31"/>
      <c r="M80" s="31"/>
      <c r="N80" s="536"/>
    </row>
    <row r="81" spans="1:14" s="370" customFormat="1">
      <c r="A81" s="562"/>
      <c r="B81" s="556"/>
      <c r="C81" s="825"/>
      <c r="D81" s="556"/>
      <c r="E81" s="556"/>
      <c r="F81" s="556"/>
      <c r="G81" s="551"/>
      <c r="H81" s="31"/>
      <c r="I81" s="31"/>
      <c r="J81" s="31"/>
      <c r="K81" s="31"/>
      <c r="L81" s="31"/>
      <c r="M81" s="31"/>
      <c r="N81" s="536"/>
    </row>
    <row r="82" spans="1:14" s="370" customFormat="1">
      <c r="A82" s="565" t="s">
        <v>265</v>
      </c>
      <c r="B82" s="556"/>
      <c r="C82" s="825"/>
      <c r="D82" s="556"/>
      <c r="E82" s="556"/>
      <c r="F82" s="556"/>
      <c r="G82" s="551"/>
      <c r="H82" s="31"/>
      <c r="I82" s="31"/>
      <c r="J82" s="31"/>
      <c r="K82" s="31"/>
      <c r="L82" s="31"/>
      <c r="M82" s="31"/>
      <c r="N82" s="536"/>
    </row>
    <row r="83" spans="1:14" s="370" customFormat="1">
      <c r="A83" s="566" t="s">
        <v>266</v>
      </c>
      <c r="B83" s="556"/>
      <c r="C83" s="825"/>
      <c r="D83" s="556"/>
      <c r="E83" s="556"/>
      <c r="F83" s="556"/>
      <c r="G83" s="551"/>
      <c r="H83" s="31"/>
      <c r="I83" s="31"/>
      <c r="J83" s="31"/>
      <c r="K83" s="31"/>
      <c r="L83" s="31"/>
      <c r="M83" s="31"/>
      <c r="N83" s="536"/>
    </row>
    <row r="84" spans="1:14" s="370" customFormat="1" ht="29" customHeight="1">
      <c r="A84" s="892" t="s">
        <v>1030</v>
      </c>
      <c r="B84" s="893"/>
      <c r="C84" s="893"/>
      <c r="D84" s="893"/>
      <c r="E84" s="893"/>
      <c r="F84" s="893"/>
      <c r="G84" s="551"/>
      <c r="H84" s="31"/>
      <c r="I84" s="31"/>
      <c r="J84" s="31"/>
      <c r="K84" s="31"/>
      <c r="L84" s="31"/>
      <c r="M84" s="31"/>
      <c r="N84" s="536"/>
    </row>
    <row r="85" spans="1:14" s="370" customFormat="1" ht="29" customHeight="1">
      <c r="A85" s="881" t="s">
        <v>1142</v>
      </c>
      <c r="B85" s="882"/>
      <c r="C85" s="882"/>
      <c r="D85" s="882"/>
      <c r="E85" s="882"/>
      <c r="F85" s="883"/>
      <c r="G85" s="551"/>
      <c r="H85" s="31"/>
      <c r="I85" s="31"/>
      <c r="J85" s="31"/>
      <c r="K85" s="31"/>
      <c r="L85" s="31"/>
      <c r="M85" s="31"/>
      <c r="N85" s="536"/>
    </row>
    <row r="86" spans="1:14" s="370" customFormat="1">
      <c r="A86" s="894"/>
      <c r="B86" s="895"/>
      <c r="C86" s="895"/>
      <c r="D86" s="895"/>
      <c r="E86" s="895"/>
      <c r="F86" s="895"/>
      <c r="G86" s="551"/>
      <c r="H86" s="31"/>
      <c r="I86" s="31"/>
      <c r="J86" s="31"/>
      <c r="K86" s="31"/>
      <c r="L86" s="31"/>
      <c r="M86" s="31"/>
      <c r="N86" s="536"/>
    </row>
    <row r="87" spans="1:14" s="370" customFormat="1">
      <c r="A87" s="566" t="s">
        <v>268</v>
      </c>
      <c r="B87" s="556"/>
      <c r="C87" s="825"/>
      <c r="D87" s="556"/>
      <c r="E87" s="556"/>
      <c r="F87" s="556"/>
      <c r="G87" s="551"/>
      <c r="H87" s="31"/>
      <c r="I87" s="31"/>
      <c r="J87" s="31"/>
      <c r="K87" s="31"/>
      <c r="L87" s="31"/>
      <c r="M87" s="31"/>
      <c r="N87" s="536"/>
    </row>
    <row r="88" spans="1:14" s="370" customFormat="1" ht="30.5" customHeight="1">
      <c r="A88" s="896" t="s">
        <v>269</v>
      </c>
      <c r="B88" s="897"/>
      <c r="C88" s="897"/>
      <c r="D88" s="897"/>
      <c r="E88" s="897"/>
      <c r="F88" s="897"/>
      <c r="G88" s="551"/>
      <c r="H88" s="31"/>
      <c r="I88" s="31"/>
      <c r="J88" s="31"/>
      <c r="K88" s="31"/>
      <c r="L88" s="31"/>
      <c r="M88" s="31"/>
      <c r="N88" s="536"/>
    </row>
    <row r="89" spans="1:14" s="370" customFormat="1">
      <c r="A89" s="889" t="s">
        <v>452</v>
      </c>
      <c r="B89" s="890"/>
      <c r="C89" s="890"/>
      <c r="D89" s="890"/>
      <c r="E89" s="890"/>
      <c r="F89" s="891"/>
      <c r="G89" s="551"/>
      <c r="H89" s="31"/>
      <c r="I89" s="31"/>
      <c r="J89" s="31"/>
      <c r="K89" s="31"/>
      <c r="L89" s="31"/>
      <c r="M89" s="31"/>
      <c r="N89" s="536"/>
    </row>
    <row r="90" spans="1:14" s="370" customFormat="1" ht="15" thickBot="1">
      <c r="A90" s="567"/>
      <c r="B90" s="568"/>
      <c r="C90" s="569"/>
      <c r="D90" s="568"/>
      <c r="E90" s="568"/>
      <c r="F90" s="568"/>
      <c r="G90" s="570"/>
      <c r="H90" s="31"/>
      <c r="I90" s="31"/>
      <c r="J90" s="31"/>
      <c r="K90" s="31"/>
      <c r="L90" s="31"/>
      <c r="M90" s="31"/>
      <c r="N90" s="536"/>
    </row>
    <row r="91" spans="1:14" s="370" customFormat="1">
      <c r="A91" s="31"/>
      <c r="B91" s="31"/>
      <c r="C91" s="32"/>
      <c r="D91" s="31"/>
      <c r="E91" s="31"/>
      <c r="F91" s="31"/>
      <c r="G91" s="31"/>
      <c r="H91" s="31"/>
      <c r="I91" s="31"/>
      <c r="J91" s="31"/>
      <c r="K91" s="31"/>
      <c r="L91" s="31"/>
      <c r="M91" s="31"/>
      <c r="N91" s="536"/>
    </row>
    <row r="92" spans="1:14" s="370" customFormat="1">
      <c r="C92" s="826"/>
    </row>
    <row r="93" spans="1:14" s="370" customFormat="1">
      <c r="C93" s="826"/>
    </row>
    <row r="94" spans="1:14" s="370" customFormat="1">
      <c r="C94" s="826"/>
    </row>
    <row r="95" spans="1:14" s="370" customFormat="1">
      <c r="C95" s="826"/>
    </row>
    <row r="96" spans="1:14" s="370" customFormat="1">
      <c r="C96" s="826"/>
    </row>
    <row r="97" spans="3:3" s="370" customFormat="1">
      <c r="C97" s="826"/>
    </row>
    <row r="98" spans="3:3" s="370" customFormat="1">
      <c r="C98" s="826"/>
    </row>
    <row r="99" spans="3:3" s="370" customFormat="1">
      <c r="C99" s="826"/>
    </row>
    <row r="100" spans="3:3" s="370" customFormat="1">
      <c r="C100" s="826"/>
    </row>
    <row r="101" spans="3:3" s="370" customFormat="1">
      <c r="C101" s="826"/>
    </row>
    <row r="102" spans="3:3" s="370" customFormat="1">
      <c r="C102" s="826"/>
    </row>
    <row r="103" spans="3:3" s="370" customFormat="1">
      <c r="C103" s="826"/>
    </row>
    <row r="104" spans="3:3" s="370" customFormat="1">
      <c r="C104" s="826"/>
    </row>
    <row r="105" spans="3:3" s="370" customFormat="1">
      <c r="C105" s="826"/>
    </row>
    <row r="106" spans="3:3" s="370" customFormat="1">
      <c r="C106" s="826"/>
    </row>
    <row r="107" spans="3:3" s="370" customFormat="1">
      <c r="C107" s="826"/>
    </row>
    <row r="108" spans="3:3" s="370" customFormat="1">
      <c r="C108" s="826"/>
    </row>
    <row r="109" spans="3:3" s="370" customFormat="1">
      <c r="C109" s="826"/>
    </row>
    <row r="110" spans="3:3" s="370" customFormat="1">
      <c r="C110" s="826"/>
    </row>
    <row r="111" spans="3:3" s="370" customFormat="1">
      <c r="C111" s="826"/>
    </row>
    <row r="112" spans="3:3" s="370" customFormat="1">
      <c r="C112" s="826"/>
    </row>
    <row r="113" spans="3:3" s="370" customFormat="1">
      <c r="C113" s="826"/>
    </row>
    <row r="114" spans="3:3" s="370" customFormat="1">
      <c r="C114" s="826"/>
    </row>
    <row r="115" spans="3:3" s="370" customFormat="1">
      <c r="C115" s="826"/>
    </row>
    <row r="116" spans="3:3" s="370" customFormat="1">
      <c r="C116" s="826"/>
    </row>
    <row r="117" spans="3:3" s="370" customFormat="1">
      <c r="C117" s="826"/>
    </row>
    <row r="118" spans="3:3" s="370" customFormat="1">
      <c r="C118" s="826"/>
    </row>
    <row r="119" spans="3:3" s="370" customFormat="1">
      <c r="C119" s="826"/>
    </row>
    <row r="120" spans="3:3" s="370" customFormat="1">
      <c r="C120" s="826"/>
    </row>
    <row r="121" spans="3:3" s="370" customFormat="1">
      <c r="C121" s="826"/>
    </row>
    <row r="122" spans="3:3" s="370" customFormat="1">
      <c r="C122" s="826"/>
    </row>
    <row r="123" spans="3:3" s="370" customFormat="1">
      <c r="C123" s="826"/>
    </row>
    <row r="124" spans="3:3" s="370" customFormat="1">
      <c r="C124" s="826"/>
    </row>
    <row r="125" spans="3:3" s="370" customFormat="1">
      <c r="C125" s="826"/>
    </row>
    <row r="126" spans="3:3" s="370" customFormat="1">
      <c r="C126" s="826"/>
    </row>
    <row r="127" spans="3:3" s="370" customFormat="1">
      <c r="C127" s="826"/>
    </row>
    <row r="128" spans="3:3" s="370" customFormat="1">
      <c r="C128" s="826"/>
    </row>
    <row r="129" spans="3:3" s="370" customFormat="1">
      <c r="C129" s="826"/>
    </row>
    <row r="130" spans="3:3" s="370" customFormat="1">
      <c r="C130" s="826"/>
    </row>
    <row r="131" spans="3:3" s="370" customFormat="1">
      <c r="C131" s="826"/>
    </row>
    <row r="132" spans="3:3" s="370" customFormat="1">
      <c r="C132" s="826"/>
    </row>
    <row r="133" spans="3:3" s="370" customFormat="1">
      <c r="C133" s="826"/>
    </row>
    <row r="134" spans="3:3" s="370" customFormat="1">
      <c r="C134" s="826"/>
    </row>
    <row r="135" spans="3:3" s="370" customFormat="1">
      <c r="C135" s="826"/>
    </row>
    <row r="136" spans="3:3" s="370" customFormat="1">
      <c r="C136" s="826"/>
    </row>
    <row r="137" spans="3:3" s="370" customFormat="1">
      <c r="C137" s="826"/>
    </row>
    <row r="138" spans="3:3" s="370" customFormat="1">
      <c r="C138" s="826"/>
    </row>
    <row r="139" spans="3:3" s="370" customFormat="1">
      <c r="C139" s="826"/>
    </row>
    <row r="140" spans="3:3" s="370" customFormat="1">
      <c r="C140" s="826"/>
    </row>
    <row r="141" spans="3:3" s="370" customFormat="1">
      <c r="C141" s="826"/>
    </row>
    <row r="142" spans="3:3" s="370" customFormat="1">
      <c r="C142" s="826"/>
    </row>
    <row r="143" spans="3:3" s="370" customFormat="1">
      <c r="C143" s="826"/>
    </row>
    <row r="144" spans="3:3" s="370" customFormat="1">
      <c r="C144" s="826"/>
    </row>
    <row r="145" spans="3:3" s="370" customFormat="1">
      <c r="C145" s="826"/>
    </row>
    <row r="146" spans="3:3" s="370" customFormat="1">
      <c r="C146" s="826"/>
    </row>
    <row r="147" spans="3:3" s="370" customFormat="1">
      <c r="C147" s="826"/>
    </row>
    <row r="148" spans="3:3" s="370" customFormat="1">
      <c r="C148" s="826"/>
    </row>
    <row r="149" spans="3:3" s="370" customFormat="1">
      <c r="C149" s="826"/>
    </row>
    <row r="150" spans="3:3" s="370" customFormat="1">
      <c r="C150" s="826"/>
    </row>
    <row r="151" spans="3:3" s="370" customFormat="1">
      <c r="C151" s="826"/>
    </row>
    <row r="152" spans="3:3" s="370" customFormat="1">
      <c r="C152" s="826"/>
    </row>
    <row r="153" spans="3:3" s="370" customFormat="1">
      <c r="C153" s="826"/>
    </row>
    <row r="154" spans="3:3" s="370" customFormat="1">
      <c r="C154" s="826"/>
    </row>
    <row r="155" spans="3:3" s="370" customFormat="1">
      <c r="C155" s="826"/>
    </row>
    <row r="156" spans="3:3" s="370" customFormat="1">
      <c r="C156" s="826"/>
    </row>
    <row r="157" spans="3:3" s="370" customFormat="1">
      <c r="C157" s="826"/>
    </row>
    <row r="158" spans="3:3" s="370" customFormat="1">
      <c r="C158" s="826"/>
    </row>
    <row r="159" spans="3:3" s="370" customFormat="1">
      <c r="C159" s="826"/>
    </row>
    <row r="160" spans="3:3" s="370" customFormat="1">
      <c r="C160" s="826"/>
    </row>
    <row r="161" spans="3:3" s="370" customFormat="1">
      <c r="C161" s="826"/>
    </row>
    <row r="162" spans="3:3" s="370" customFormat="1">
      <c r="C162" s="826"/>
    </row>
    <row r="163" spans="3:3" s="370" customFormat="1">
      <c r="C163" s="826"/>
    </row>
    <row r="164" spans="3:3" s="370" customFormat="1">
      <c r="C164" s="826"/>
    </row>
    <row r="165" spans="3:3" s="370" customFormat="1">
      <c r="C165" s="826"/>
    </row>
    <row r="166" spans="3:3" s="370" customFormat="1">
      <c r="C166" s="826"/>
    </row>
    <row r="167" spans="3:3" s="370" customFormat="1">
      <c r="C167" s="826"/>
    </row>
    <row r="168" spans="3:3" s="370" customFormat="1">
      <c r="C168" s="826"/>
    </row>
    <row r="169" spans="3:3" s="370" customFormat="1">
      <c r="C169" s="826"/>
    </row>
    <row r="170" spans="3:3" s="370" customFormat="1">
      <c r="C170" s="826"/>
    </row>
    <row r="171" spans="3:3" s="370" customFormat="1">
      <c r="C171" s="826"/>
    </row>
    <row r="172" spans="3:3" s="370" customFormat="1">
      <c r="C172" s="826"/>
    </row>
    <row r="173" spans="3:3" s="370" customFormat="1">
      <c r="C173" s="826"/>
    </row>
    <row r="174" spans="3:3" s="370" customFormat="1">
      <c r="C174" s="826"/>
    </row>
    <row r="175" spans="3:3" s="370" customFormat="1">
      <c r="C175" s="826"/>
    </row>
    <row r="176" spans="3:3" s="370" customFormat="1">
      <c r="C176" s="826"/>
    </row>
    <row r="177" spans="3:3" s="370" customFormat="1">
      <c r="C177" s="826"/>
    </row>
    <row r="178" spans="3:3" s="370" customFormat="1">
      <c r="C178" s="826"/>
    </row>
  </sheetData>
  <mergeCells count="20">
    <mergeCell ref="A84:F84"/>
    <mergeCell ref="A85:F85"/>
    <mergeCell ref="A86:F86"/>
    <mergeCell ref="A88:F88"/>
    <mergeCell ref="A89:F89"/>
    <mergeCell ref="A75:F75"/>
    <mergeCell ref="A76:F76"/>
    <mergeCell ref="A77:F77"/>
    <mergeCell ref="A79:E79"/>
    <mergeCell ref="A80:F80"/>
    <mergeCell ref="A62:F62"/>
    <mergeCell ref="A63:B63"/>
    <mergeCell ref="A69:F69"/>
    <mergeCell ref="A70:F70"/>
    <mergeCell ref="A73:F73"/>
    <mergeCell ref="A1:O1"/>
    <mergeCell ref="A48:O50"/>
    <mergeCell ref="A51:O54"/>
    <mergeCell ref="A55:O58"/>
    <mergeCell ref="A61:F61"/>
  </mergeCells>
  <printOptions horizontalCentered="1"/>
  <pageMargins left="0.2" right="0.2" top="0.75" bottom="0.75" header="0.3" footer="0.3"/>
  <pageSetup scale="65" fitToHeight="0" orientation="landscape" r:id="rId1"/>
  <headerFooter>
    <oddHeader xml:space="preserve">&amp;CDRAFT NOT FOR DISTRIBUTION, INTERNAL USE ONLY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9377-CEF0-49CD-A627-0BB3F3FDC193}">
  <sheetPr>
    <tabColor theme="9" tint="0.39997558519241921"/>
  </sheetPr>
  <dimension ref="A1:O91"/>
  <sheetViews>
    <sheetView workbookViewId="0">
      <selection sqref="A1:O1"/>
    </sheetView>
  </sheetViews>
  <sheetFormatPr defaultColWidth="9.1796875" defaultRowHeight="14.5"/>
  <cols>
    <col min="1" max="1" width="47.1796875" style="370" customWidth="1"/>
    <col min="2" max="2" width="16" style="370" customWidth="1"/>
    <col min="3" max="3" width="7.81640625" style="826" customWidth="1"/>
    <col min="4" max="4" width="8.81640625" style="370" customWidth="1"/>
    <col min="5" max="6" width="10.81640625" style="370" customWidth="1"/>
    <col min="7" max="7" width="11" style="370" customWidth="1"/>
    <col min="8" max="8" width="9.54296875" style="370" customWidth="1"/>
    <col min="9" max="9" width="8.453125" style="370" customWidth="1"/>
    <col min="10" max="11" width="7.1796875" style="370" customWidth="1"/>
    <col min="12" max="12" width="7.81640625" style="370" customWidth="1"/>
    <col min="13" max="13" width="9.81640625" style="370" customWidth="1"/>
    <col min="14" max="14" width="9.1796875" style="370"/>
    <col min="15" max="15" width="34.81640625" style="370" customWidth="1"/>
    <col min="16" max="16384" width="9.1796875" style="370"/>
  </cols>
  <sheetData>
    <row r="1" spans="1:15" ht="15.5">
      <c r="A1" s="854" t="s">
        <v>1479</v>
      </c>
      <c r="B1" s="854"/>
      <c r="C1" s="854"/>
      <c r="D1" s="854"/>
      <c r="E1" s="854"/>
      <c r="F1" s="854"/>
      <c r="G1" s="854"/>
      <c r="H1" s="854"/>
      <c r="I1" s="854"/>
      <c r="J1" s="854"/>
      <c r="K1" s="854"/>
      <c r="L1" s="854"/>
      <c r="M1" s="854"/>
      <c r="N1" s="854"/>
      <c r="O1" s="854"/>
    </row>
    <row r="2" spans="1:15">
      <c r="A2" s="702" t="s">
        <v>1478</v>
      </c>
    </row>
    <row r="3" spans="1:15">
      <c r="A3" s="506" t="s">
        <v>783</v>
      </c>
    </row>
    <row r="4" spans="1:15">
      <c r="A4" s="506" t="s">
        <v>211</v>
      </c>
      <c r="B4" s="31"/>
      <c r="C4" s="32"/>
      <c r="D4" s="31"/>
      <c r="E4" s="31"/>
      <c r="F4" s="31"/>
    </row>
    <row r="5" spans="1:15" ht="39.5">
      <c r="A5" s="33"/>
      <c r="B5" s="33" t="s">
        <v>212</v>
      </c>
      <c r="C5" s="1" t="s">
        <v>213</v>
      </c>
      <c r="D5" s="2" t="s">
        <v>733</v>
      </c>
      <c r="E5" s="34" t="s">
        <v>734</v>
      </c>
      <c r="F5" s="2" t="s">
        <v>1007</v>
      </c>
      <c r="G5" s="35" t="s">
        <v>1008</v>
      </c>
      <c r="H5" s="35" t="s">
        <v>0</v>
      </c>
      <c r="I5" s="35" t="s">
        <v>1</v>
      </c>
      <c r="J5" s="35" t="s">
        <v>2</v>
      </c>
      <c r="K5" s="35" t="s">
        <v>3</v>
      </c>
      <c r="L5" s="35" t="s">
        <v>4</v>
      </c>
      <c r="M5" s="35" t="s">
        <v>26</v>
      </c>
      <c r="N5" s="2" t="s">
        <v>214</v>
      </c>
      <c r="O5" s="35" t="s">
        <v>215</v>
      </c>
    </row>
    <row r="6" spans="1:15">
      <c r="A6" s="125" t="s">
        <v>216</v>
      </c>
      <c r="B6" s="126"/>
      <c r="C6" s="127"/>
      <c r="D6" s="126"/>
      <c r="E6" s="126"/>
      <c r="F6" s="126"/>
      <c r="G6" s="87"/>
      <c r="H6" s="87"/>
      <c r="I6" s="87"/>
      <c r="J6" s="87"/>
      <c r="K6" s="87"/>
      <c r="L6" s="87"/>
      <c r="M6" s="87"/>
      <c r="N6" s="87"/>
      <c r="O6" s="87"/>
    </row>
    <row r="7" spans="1:15">
      <c r="A7" s="57" t="s">
        <v>217</v>
      </c>
      <c r="B7" s="57"/>
      <c r="C7" s="607" t="s">
        <v>218</v>
      </c>
      <c r="D7" s="38"/>
      <c r="E7" s="258">
        <v>0</v>
      </c>
      <c r="F7" s="38"/>
      <c r="G7" s="303">
        <f t="shared" ref="G7:G12" si="0">SUM(H7:N7)</f>
        <v>0</v>
      </c>
      <c r="H7" s="304">
        <v>0</v>
      </c>
      <c r="I7" s="304">
        <v>0</v>
      </c>
      <c r="J7" s="304">
        <v>0</v>
      </c>
      <c r="K7" s="304">
        <v>0</v>
      </c>
      <c r="L7" s="304">
        <v>0</v>
      </c>
      <c r="M7" s="304">
        <v>0</v>
      </c>
      <c r="N7" s="305">
        <v>0</v>
      </c>
      <c r="O7" s="348"/>
    </row>
    <row r="8" spans="1:15" ht="15" customHeight="1">
      <c r="A8" s="57" t="s">
        <v>217</v>
      </c>
      <c r="B8" s="57"/>
      <c r="C8" s="607" t="s">
        <v>218</v>
      </c>
      <c r="D8" s="39"/>
      <c r="E8" s="258">
        <v>0</v>
      </c>
      <c r="F8" s="39"/>
      <c r="G8" s="303">
        <f t="shared" si="0"/>
        <v>0</v>
      </c>
      <c r="H8" s="304">
        <v>0</v>
      </c>
      <c r="I8" s="304">
        <v>0</v>
      </c>
      <c r="J8" s="304">
        <v>0</v>
      </c>
      <c r="K8" s="304">
        <v>0</v>
      </c>
      <c r="L8" s="304">
        <v>0</v>
      </c>
      <c r="M8" s="304">
        <v>0</v>
      </c>
      <c r="N8" s="305">
        <v>0</v>
      </c>
      <c r="O8" s="348"/>
    </row>
    <row r="9" spans="1:15" ht="15" customHeight="1">
      <c r="A9" s="57" t="s">
        <v>217</v>
      </c>
      <c r="B9" s="530"/>
      <c r="C9" s="607" t="s">
        <v>218</v>
      </c>
      <c r="D9" s="39"/>
      <c r="E9" s="258">
        <v>0</v>
      </c>
      <c r="F9" s="39"/>
      <c r="G9" s="303">
        <f t="shared" si="0"/>
        <v>0</v>
      </c>
      <c r="H9" s="304">
        <v>0</v>
      </c>
      <c r="I9" s="304">
        <v>0</v>
      </c>
      <c r="J9" s="304">
        <v>0</v>
      </c>
      <c r="K9" s="304">
        <v>0</v>
      </c>
      <c r="L9" s="304">
        <v>0</v>
      </c>
      <c r="M9" s="304">
        <v>0</v>
      </c>
      <c r="N9" s="305">
        <v>0</v>
      </c>
      <c r="O9" s="348"/>
    </row>
    <row r="10" spans="1:15">
      <c r="A10" s="57" t="s">
        <v>217</v>
      </c>
      <c r="B10" s="530"/>
      <c r="C10" s="607" t="s">
        <v>218</v>
      </c>
      <c r="D10" s="39"/>
      <c r="E10" s="258">
        <v>0</v>
      </c>
      <c r="F10" s="39"/>
      <c r="G10" s="303">
        <f t="shared" si="0"/>
        <v>0</v>
      </c>
      <c r="H10" s="304">
        <v>0</v>
      </c>
      <c r="I10" s="304">
        <v>0</v>
      </c>
      <c r="J10" s="304">
        <v>0</v>
      </c>
      <c r="K10" s="304">
        <v>0</v>
      </c>
      <c r="L10" s="304">
        <v>0</v>
      </c>
      <c r="M10" s="304">
        <v>0</v>
      </c>
      <c r="N10" s="305">
        <v>0</v>
      </c>
      <c r="O10" s="348"/>
    </row>
    <row r="11" spans="1:15">
      <c r="A11" s="57" t="s">
        <v>217</v>
      </c>
      <c r="B11" s="530"/>
      <c r="C11" s="607" t="s">
        <v>218</v>
      </c>
      <c r="D11" s="39"/>
      <c r="E11" s="258">
        <v>0</v>
      </c>
      <c r="F11" s="39"/>
      <c r="G11" s="303">
        <f t="shared" si="0"/>
        <v>0</v>
      </c>
      <c r="H11" s="304">
        <v>0</v>
      </c>
      <c r="I11" s="304">
        <v>0</v>
      </c>
      <c r="J11" s="304">
        <v>0</v>
      </c>
      <c r="K11" s="304">
        <v>0</v>
      </c>
      <c r="L11" s="304">
        <v>0</v>
      </c>
      <c r="M11" s="304">
        <v>0</v>
      </c>
      <c r="N11" s="305">
        <v>0</v>
      </c>
      <c r="O11" s="348"/>
    </row>
    <row r="12" spans="1:15">
      <c r="A12" s="57" t="s">
        <v>217</v>
      </c>
      <c r="B12" s="601"/>
      <c r="C12" s="607" t="s">
        <v>218</v>
      </c>
      <c r="D12" s="39"/>
      <c r="E12" s="258">
        <v>0</v>
      </c>
      <c r="F12" s="39"/>
      <c r="G12" s="303">
        <f t="shared" si="0"/>
        <v>0</v>
      </c>
      <c r="H12" s="304">
        <v>0</v>
      </c>
      <c r="I12" s="304">
        <v>0</v>
      </c>
      <c r="J12" s="304">
        <v>0</v>
      </c>
      <c r="K12" s="304">
        <v>0</v>
      </c>
      <c r="L12" s="304">
        <v>0</v>
      </c>
      <c r="M12" s="304">
        <v>0</v>
      </c>
      <c r="N12" s="305">
        <v>0</v>
      </c>
      <c r="O12" s="348"/>
    </row>
    <row r="13" spans="1:15">
      <c r="A13" s="622" t="s">
        <v>219</v>
      </c>
      <c r="B13" s="601"/>
      <c r="C13" s="621"/>
      <c r="D13" s="41">
        <f t="shared" ref="D13:N13" si="1">SUM(D7:D12)</f>
        <v>0</v>
      </c>
      <c r="E13" s="42">
        <f t="shared" si="1"/>
        <v>0</v>
      </c>
      <c r="F13" s="41">
        <f t="shared" si="1"/>
        <v>0</v>
      </c>
      <c r="G13" s="43">
        <f t="shared" si="1"/>
        <v>0</v>
      </c>
      <c r="H13" s="43">
        <f t="shared" si="1"/>
        <v>0</v>
      </c>
      <c r="I13" s="43">
        <f t="shared" si="1"/>
        <v>0</v>
      </c>
      <c r="J13" s="43">
        <f t="shared" si="1"/>
        <v>0</v>
      </c>
      <c r="K13" s="43">
        <f t="shared" si="1"/>
        <v>0</v>
      </c>
      <c r="L13" s="43">
        <f t="shared" si="1"/>
        <v>0</v>
      </c>
      <c r="M13" s="43">
        <f t="shared" si="1"/>
        <v>0</v>
      </c>
      <c r="N13" s="43">
        <f t="shared" si="1"/>
        <v>0</v>
      </c>
      <c r="O13" s="348"/>
    </row>
    <row r="14" spans="1:15">
      <c r="A14" s="125" t="s">
        <v>220</v>
      </c>
      <c r="B14" s="126"/>
      <c r="C14" s="127"/>
      <c r="D14" s="126"/>
      <c r="E14" s="126"/>
      <c r="F14" s="126"/>
      <c r="G14" s="87"/>
      <c r="H14" s="87"/>
      <c r="I14" s="87"/>
      <c r="J14" s="87"/>
      <c r="K14" s="87"/>
      <c r="L14" s="87"/>
      <c r="M14" s="87"/>
      <c r="N14" s="87"/>
      <c r="O14" s="87"/>
    </row>
    <row r="15" spans="1:15">
      <c r="A15" s="530" t="s">
        <v>221</v>
      </c>
      <c r="B15" s="530"/>
      <c r="C15" s="597">
        <v>253</v>
      </c>
      <c r="D15" s="45"/>
      <c r="E15" s="258"/>
      <c r="F15" s="45"/>
      <c r="G15" s="350"/>
      <c r="H15" s="304">
        <v>0</v>
      </c>
      <c r="I15" s="304">
        <v>0</v>
      </c>
      <c r="J15" s="304">
        <v>0</v>
      </c>
      <c r="K15" s="304">
        <v>0</v>
      </c>
      <c r="L15" s="304"/>
      <c r="M15" s="304"/>
      <c r="N15" s="305">
        <v>0</v>
      </c>
      <c r="O15" s="348"/>
    </row>
    <row r="16" spans="1:15">
      <c r="A16" s="530" t="s">
        <v>222</v>
      </c>
      <c r="B16" s="530"/>
      <c r="C16" s="597">
        <v>253</v>
      </c>
      <c r="D16" s="45"/>
      <c r="E16" s="258"/>
      <c r="F16" s="45"/>
      <c r="G16" s="350"/>
      <c r="H16" s="304">
        <v>0</v>
      </c>
      <c r="I16" s="304">
        <v>0</v>
      </c>
      <c r="J16" s="304">
        <v>0</v>
      </c>
      <c r="K16" s="304">
        <v>0</v>
      </c>
      <c r="L16" s="304"/>
      <c r="M16" s="304"/>
      <c r="N16" s="305">
        <v>0</v>
      </c>
      <c r="O16" s="348"/>
    </row>
    <row r="17" spans="1:15">
      <c r="A17" s="530" t="s">
        <v>223</v>
      </c>
      <c r="B17" s="530"/>
      <c r="C17" s="597">
        <v>253</v>
      </c>
      <c r="D17" s="262"/>
      <c r="E17" s="258"/>
      <c r="F17" s="262"/>
      <c r="G17" s="350"/>
      <c r="H17" s="304">
        <v>0</v>
      </c>
      <c r="I17" s="304">
        <v>0</v>
      </c>
      <c r="J17" s="304">
        <v>0</v>
      </c>
      <c r="K17" s="304">
        <v>0</v>
      </c>
      <c r="L17" s="304"/>
      <c r="M17" s="304"/>
      <c r="N17" s="305">
        <v>0</v>
      </c>
      <c r="O17" s="348"/>
    </row>
    <row r="18" spans="1:15">
      <c r="A18" s="530" t="s">
        <v>221</v>
      </c>
      <c r="B18" s="530"/>
      <c r="C18" s="597">
        <v>253</v>
      </c>
      <c r="D18" s="262"/>
      <c r="E18" s="258"/>
      <c r="F18" s="262"/>
      <c r="G18" s="350"/>
      <c r="H18" s="304">
        <v>0</v>
      </c>
      <c r="I18" s="304">
        <v>0</v>
      </c>
      <c r="J18" s="304">
        <v>0</v>
      </c>
      <c r="K18" s="304">
        <v>0</v>
      </c>
      <c r="L18" s="304"/>
      <c r="M18" s="304"/>
      <c r="N18" s="305">
        <v>0</v>
      </c>
      <c r="O18" s="318"/>
    </row>
    <row r="19" spans="1:15">
      <c r="A19" s="544" t="s">
        <v>224</v>
      </c>
      <c r="B19" s="530"/>
      <c r="C19" s="597">
        <v>253</v>
      </c>
      <c r="D19" s="262"/>
      <c r="E19" s="258"/>
      <c r="F19" s="262"/>
      <c r="G19" s="350"/>
      <c r="H19" s="304">
        <v>0</v>
      </c>
      <c r="I19" s="304">
        <v>0</v>
      </c>
      <c r="J19" s="304">
        <v>0</v>
      </c>
      <c r="K19" s="304">
        <v>0</v>
      </c>
      <c r="L19" s="304"/>
      <c r="M19" s="304"/>
      <c r="N19" s="305">
        <v>0</v>
      </c>
      <c r="O19" s="348"/>
    </row>
    <row r="20" spans="1:15">
      <c r="A20" s="622" t="s">
        <v>225</v>
      </c>
      <c r="B20" s="601"/>
      <c r="C20" s="621"/>
      <c r="D20" s="262">
        <f t="shared" ref="D20:N20" si="2">SUM(D15:D19)</f>
        <v>0</v>
      </c>
      <c r="E20" s="42">
        <f t="shared" si="2"/>
        <v>0</v>
      </c>
      <c r="F20" s="262">
        <f t="shared" si="2"/>
        <v>0</v>
      </c>
      <c r="G20" s="43">
        <f t="shared" si="2"/>
        <v>0</v>
      </c>
      <c r="H20" s="43">
        <f t="shared" si="2"/>
        <v>0</v>
      </c>
      <c r="I20" s="43">
        <f t="shared" si="2"/>
        <v>0</v>
      </c>
      <c r="J20" s="43">
        <f t="shared" si="2"/>
        <v>0</v>
      </c>
      <c r="K20" s="43">
        <f t="shared" si="2"/>
        <v>0</v>
      </c>
      <c r="L20" s="43">
        <f t="shared" si="2"/>
        <v>0</v>
      </c>
      <c r="M20" s="43">
        <f t="shared" si="2"/>
        <v>0</v>
      </c>
      <c r="N20" s="43">
        <f t="shared" si="2"/>
        <v>0</v>
      </c>
      <c r="O20" s="348"/>
    </row>
    <row r="21" spans="1:15">
      <c r="A21" s="125" t="s">
        <v>226</v>
      </c>
      <c r="B21" s="126"/>
      <c r="C21" s="127"/>
      <c r="D21" s="126"/>
      <c r="E21" s="126"/>
      <c r="F21" s="126"/>
      <c r="G21" s="87"/>
      <c r="H21" s="87"/>
      <c r="I21" s="87"/>
      <c r="J21" s="87"/>
      <c r="K21" s="87"/>
      <c r="L21" s="87"/>
      <c r="M21" s="87"/>
      <c r="N21" s="87"/>
      <c r="O21" s="87"/>
    </row>
    <row r="22" spans="1:15" ht="15" customHeight="1">
      <c r="A22" s="530" t="s">
        <v>227</v>
      </c>
      <c r="B22" s="57"/>
      <c r="C22" s="607" t="s">
        <v>228</v>
      </c>
      <c r="D22" s="38">
        <v>0</v>
      </c>
      <c r="E22" s="258">
        <v>0</v>
      </c>
      <c r="F22" s="38">
        <v>0</v>
      </c>
      <c r="G22" s="303">
        <v>0</v>
      </c>
      <c r="H22" s="304">
        <v>0</v>
      </c>
      <c r="I22" s="304">
        <v>0</v>
      </c>
      <c r="J22" s="304">
        <v>0</v>
      </c>
      <c r="K22" s="304">
        <v>0</v>
      </c>
      <c r="L22" s="304">
        <v>0</v>
      </c>
      <c r="M22" s="304">
        <v>0</v>
      </c>
      <c r="N22" s="305">
        <v>0</v>
      </c>
      <c r="O22" s="348"/>
    </row>
    <row r="23" spans="1:15">
      <c r="A23" s="530" t="s">
        <v>229</v>
      </c>
      <c r="B23" s="57"/>
      <c r="C23" s="597" t="s">
        <v>230</v>
      </c>
      <c r="D23" s="45"/>
      <c r="E23" s="258">
        <v>0</v>
      </c>
      <c r="F23" s="45"/>
      <c r="G23" s="303">
        <v>0</v>
      </c>
      <c r="H23" s="304">
        <v>0</v>
      </c>
      <c r="I23" s="304">
        <v>0</v>
      </c>
      <c r="J23" s="304">
        <v>0</v>
      </c>
      <c r="K23" s="304">
        <v>0</v>
      </c>
      <c r="L23" s="304">
        <v>0</v>
      </c>
      <c r="M23" s="304">
        <v>0</v>
      </c>
      <c r="N23" s="305">
        <v>0</v>
      </c>
      <c r="O23" s="348"/>
    </row>
    <row r="24" spans="1:15">
      <c r="A24" s="530" t="s">
        <v>231</v>
      </c>
      <c r="B24" s="57"/>
      <c r="C24" s="597" t="s">
        <v>232</v>
      </c>
      <c r="D24" s="45"/>
      <c r="E24" s="258">
        <v>0</v>
      </c>
      <c r="F24" s="45"/>
      <c r="G24" s="303">
        <v>0</v>
      </c>
      <c r="H24" s="304">
        <v>0</v>
      </c>
      <c r="I24" s="304">
        <v>0</v>
      </c>
      <c r="J24" s="304">
        <v>0</v>
      </c>
      <c r="K24" s="304">
        <v>0</v>
      </c>
      <c r="L24" s="304">
        <v>0</v>
      </c>
      <c r="M24" s="304">
        <v>0</v>
      </c>
      <c r="N24" s="305">
        <v>0</v>
      </c>
      <c r="O24" s="318"/>
    </row>
    <row r="25" spans="1:15">
      <c r="A25" s="530" t="s">
        <v>233</v>
      </c>
      <c r="B25" s="57"/>
      <c r="C25" s="597" t="s">
        <v>234</v>
      </c>
      <c r="D25" s="45"/>
      <c r="E25" s="258">
        <v>0</v>
      </c>
      <c r="F25" s="45"/>
      <c r="G25" s="303">
        <v>0</v>
      </c>
      <c r="H25" s="304">
        <v>0</v>
      </c>
      <c r="I25" s="304">
        <v>0</v>
      </c>
      <c r="J25" s="304">
        <v>0</v>
      </c>
      <c r="K25" s="304">
        <v>0</v>
      </c>
      <c r="L25" s="304">
        <v>0</v>
      </c>
      <c r="M25" s="304">
        <v>0</v>
      </c>
      <c r="N25" s="305">
        <v>0</v>
      </c>
      <c r="O25" s="348"/>
    </row>
    <row r="26" spans="1:15">
      <c r="A26" s="530" t="s">
        <v>235</v>
      </c>
      <c r="B26" s="57"/>
      <c r="C26" s="597">
        <v>251</v>
      </c>
      <c r="D26" s="45"/>
      <c r="E26" s="258">
        <v>0</v>
      </c>
      <c r="F26" s="45"/>
      <c r="G26" s="303">
        <v>0</v>
      </c>
      <c r="H26" s="304">
        <v>0</v>
      </c>
      <c r="I26" s="304">
        <v>0</v>
      </c>
      <c r="J26" s="304">
        <v>0</v>
      </c>
      <c r="K26" s="304">
        <v>0</v>
      </c>
      <c r="L26" s="304">
        <v>0</v>
      </c>
      <c r="M26" s="304">
        <v>0</v>
      </c>
      <c r="N26" s="305">
        <v>0</v>
      </c>
      <c r="O26" s="348"/>
    </row>
    <row r="27" spans="1:15">
      <c r="A27" s="530" t="s">
        <v>236</v>
      </c>
      <c r="B27" s="57"/>
      <c r="C27" s="597">
        <v>252</v>
      </c>
      <c r="D27" s="510">
        <v>0</v>
      </c>
      <c r="E27" s="258">
        <v>0</v>
      </c>
      <c r="F27" s="510">
        <v>0</v>
      </c>
      <c r="G27" s="303">
        <f>SUM(H27:M27)</f>
        <v>0</v>
      </c>
      <c r="H27" s="304">
        <v>0</v>
      </c>
      <c r="I27" s="304">
        <v>0</v>
      </c>
      <c r="J27" s="304">
        <v>0</v>
      </c>
      <c r="K27" s="304">
        <v>0</v>
      </c>
      <c r="L27" s="304">
        <v>0</v>
      </c>
      <c r="M27" s="304">
        <v>0</v>
      </c>
      <c r="N27" s="305">
        <v>0</v>
      </c>
      <c r="O27" s="318"/>
    </row>
    <row r="28" spans="1:15" ht="101.5">
      <c r="A28" s="530" t="s">
        <v>237</v>
      </c>
      <c r="B28" s="57"/>
      <c r="C28" s="597">
        <v>252</v>
      </c>
      <c r="D28" s="510">
        <v>0</v>
      </c>
      <c r="E28" s="258">
        <v>0</v>
      </c>
      <c r="F28" s="510">
        <v>35</v>
      </c>
      <c r="G28" s="303">
        <f t="shared" ref="G28:G43" si="3">SUM(H28:M28)</f>
        <v>20371</v>
      </c>
      <c r="H28" s="304">
        <v>135</v>
      </c>
      <c r="I28" s="304">
        <v>20236</v>
      </c>
      <c r="J28" s="304">
        <v>0</v>
      </c>
      <c r="K28" s="304">
        <v>0</v>
      </c>
      <c r="L28" s="304">
        <v>0</v>
      </c>
      <c r="M28" s="304">
        <v>0</v>
      </c>
      <c r="N28" s="305">
        <v>0</v>
      </c>
      <c r="O28" s="318" t="s">
        <v>1485</v>
      </c>
    </row>
    <row r="29" spans="1:15">
      <c r="A29" s="530" t="s">
        <v>238</v>
      </c>
      <c r="B29" s="57"/>
      <c r="C29" s="597">
        <v>252</v>
      </c>
      <c r="D29" s="510">
        <v>0</v>
      </c>
      <c r="E29" s="258">
        <v>0</v>
      </c>
      <c r="F29" s="510">
        <v>0</v>
      </c>
      <c r="G29" s="303">
        <f t="shared" si="3"/>
        <v>0</v>
      </c>
      <c r="H29" s="304">
        <v>0</v>
      </c>
      <c r="I29" s="304">
        <v>0</v>
      </c>
      <c r="J29" s="304">
        <v>0</v>
      </c>
      <c r="K29" s="304">
        <v>0</v>
      </c>
      <c r="L29" s="304"/>
      <c r="M29" s="304"/>
      <c r="N29" s="305"/>
      <c r="O29" s="318"/>
    </row>
    <row r="30" spans="1:15">
      <c r="A30" s="530" t="s">
        <v>239</v>
      </c>
      <c r="B30" s="57"/>
      <c r="C30" s="597">
        <v>252</v>
      </c>
      <c r="D30" s="510">
        <v>0</v>
      </c>
      <c r="E30" s="258">
        <v>0</v>
      </c>
      <c r="F30" s="510">
        <v>0</v>
      </c>
      <c r="G30" s="303">
        <f t="shared" si="3"/>
        <v>0</v>
      </c>
      <c r="H30" s="304">
        <v>0</v>
      </c>
      <c r="I30" s="304">
        <v>0</v>
      </c>
      <c r="J30" s="304">
        <v>0</v>
      </c>
      <c r="K30" s="304">
        <v>0</v>
      </c>
      <c r="L30" s="304">
        <v>0</v>
      </c>
      <c r="M30" s="304">
        <v>0</v>
      </c>
      <c r="N30" s="305">
        <v>0</v>
      </c>
      <c r="O30" s="318"/>
    </row>
    <row r="31" spans="1:15">
      <c r="A31" s="530" t="s">
        <v>240</v>
      </c>
      <c r="B31" s="57"/>
      <c r="C31" s="597">
        <v>252</v>
      </c>
      <c r="D31" s="510">
        <v>0</v>
      </c>
      <c r="E31" s="258">
        <v>0</v>
      </c>
      <c r="F31" s="510">
        <v>0</v>
      </c>
      <c r="G31" s="303">
        <f t="shared" si="3"/>
        <v>0</v>
      </c>
      <c r="H31" s="304">
        <v>0</v>
      </c>
      <c r="I31" s="304">
        <v>0</v>
      </c>
      <c r="J31" s="304">
        <v>0</v>
      </c>
      <c r="K31" s="304">
        <v>0</v>
      </c>
      <c r="L31" s="304">
        <v>0</v>
      </c>
      <c r="M31" s="304"/>
      <c r="N31" s="305">
        <v>0</v>
      </c>
      <c r="O31" s="367"/>
    </row>
    <row r="32" spans="1:15">
      <c r="A32" s="530" t="s">
        <v>241</v>
      </c>
      <c r="B32" s="57"/>
      <c r="C32" s="597">
        <v>252</v>
      </c>
      <c r="D32" s="510">
        <v>0</v>
      </c>
      <c r="E32" s="258">
        <v>0</v>
      </c>
      <c r="F32" s="510">
        <v>0</v>
      </c>
      <c r="G32" s="303">
        <f t="shared" si="3"/>
        <v>0</v>
      </c>
      <c r="H32" s="304">
        <v>0</v>
      </c>
      <c r="I32" s="304">
        <v>0</v>
      </c>
      <c r="J32" s="304">
        <v>0</v>
      </c>
      <c r="K32" s="304">
        <v>0</v>
      </c>
      <c r="L32" s="304">
        <v>0</v>
      </c>
      <c r="M32" s="304">
        <v>0</v>
      </c>
      <c r="N32" s="305">
        <v>0</v>
      </c>
      <c r="O32" s="318"/>
    </row>
    <row r="33" spans="1:15">
      <c r="A33" s="530" t="s">
        <v>242</v>
      </c>
      <c r="B33" s="57"/>
      <c r="C33" s="597">
        <v>252</v>
      </c>
      <c r="D33" s="45"/>
      <c r="E33" s="258">
        <v>0</v>
      </c>
      <c r="F33" s="45"/>
      <c r="G33" s="303">
        <f t="shared" si="3"/>
        <v>0</v>
      </c>
      <c r="H33" s="304">
        <v>0</v>
      </c>
      <c r="I33" s="304">
        <v>0</v>
      </c>
      <c r="J33" s="304">
        <v>0</v>
      </c>
      <c r="K33" s="304">
        <v>0</v>
      </c>
      <c r="L33" s="304">
        <v>0</v>
      </c>
      <c r="M33" s="304">
        <v>0</v>
      </c>
      <c r="N33" s="305">
        <v>0</v>
      </c>
      <c r="O33" s="348"/>
    </row>
    <row r="34" spans="1:15">
      <c r="A34" s="530" t="s">
        <v>242</v>
      </c>
      <c r="B34" s="57"/>
      <c r="C34" s="597">
        <v>252</v>
      </c>
      <c r="D34" s="45"/>
      <c r="E34" s="258">
        <v>0</v>
      </c>
      <c r="F34" s="45"/>
      <c r="G34" s="303">
        <f t="shared" si="3"/>
        <v>0</v>
      </c>
      <c r="H34" s="304">
        <v>0</v>
      </c>
      <c r="I34" s="304">
        <v>0</v>
      </c>
      <c r="J34" s="304">
        <v>0</v>
      </c>
      <c r="K34" s="304">
        <v>0</v>
      </c>
      <c r="L34" s="304">
        <v>0</v>
      </c>
      <c r="M34" s="304">
        <v>0</v>
      </c>
      <c r="N34" s="305">
        <v>0</v>
      </c>
      <c r="O34" s="348"/>
    </row>
    <row r="35" spans="1:15">
      <c r="A35" s="530" t="s">
        <v>242</v>
      </c>
      <c r="B35" s="57"/>
      <c r="C35" s="597">
        <v>252</v>
      </c>
      <c r="D35" s="45"/>
      <c r="E35" s="258">
        <v>0</v>
      </c>
      <c r="F35" s="45"/>
      <c r="G35" s="303">
        <f t="shared" si="3"/>
        <v>0</v>
      </c>
      <c r="H35" s="304">
        <v>0</v>
      </c>
      <c r="I35" s="304">
        <v>0</v>
      </c>
      <c r="J35" s="304">
        <v>0</v>
      </c>
      <c r="K35" s="304">
        <v>0</v>
      </c>
      <c r="L35" s="304">
        <v>0</v>
      </c>
      <c r="M35" s="304">
        <v>0</v>
      </c>
      <c r="N35" s="305">
        <v>0</v>
      </c>
      <c r="O35" s="348"/>
    </row>
    <row r="36" spans="1:15">
      <c r="A36" s="530" t="s">
        <v>243</v>
      </c>
      <c r="B36" s="57"/>
      <c r="C36" s="597">
        <v>252</v>
      </c>
      <c r="D36" s="45"/>
      <c r="E36" s="258">
        <v>0</v>
      </c>
      <c r="F36" s="45"/>
      <c r="G36" s="303">
        <f t="shared" si="3"/>
        <v>0</v>
      </c>
      <c r="H36" s="304">
        <v>0</v>
      </c>
      <c r="I36" s="304">
        <v>0</v>
      </c>
      <c r="J36" s="304">
        <v>0</v>
      </c>
      <c r="K36" s="304">
        <v>0</v>
      </c>
      <c r="L36" s="304">
        <v>0</v>
      </c>
      <c r="M36" s="304">
        <v>0</v>
      </c>
      <c r="N36" s="305">
        <v>0</v>
      </c>
      <c r="O36" s="348"/>
    </row>
    <row r="37" spans="1:15">
      <c r="A37" s="530" t="s">
        <v>244</v>
      </c>
      <c r="B37" s="57"/>
      <c r="C37" s="597">
        <v>253</v>
      </c>
      <c r="D37" s="530"/>
      <c r="E37" s="258">
        <v>0</v>
      </c>
      <c r="F37" s="530"/>
      <c r="G37" s="303">
        <f t="shared" si="3"/>
        <v>0</v>
      </c>
      <c r="H37" s="304">
        <v>0</v>
      </c>
      <c r="I37" s="304">
        <v>0</v>
      </c>
      <c r="J37" s="304">
        <v>0</v>
      </c>
      <c r="K37" s="304">
        <v>0</v>
      </c>
      <c r="L37" s="304">
        <v>0</v>
      </c>
      <c r="M37" s="304">
        <v>0</v>
      </c>
      <c r="N37" s="305">
        <v>0</v>
      </c>
      <c r="O37" s="348"/>
    </row>
    <row r="38" spans="1:15">
      <c r="A38" s="530" t="s">
        <v>245</v>
      </c>
      <c r="B38" s="57"/>
      <c r="C38" s="597">
        <v>255</v>
      </c>
      <c r="D38" s="530"/>
      <c r="E38" s="258">
        <v>0</v>
      </c>
      <c r="F38" s="530"/>
      <c r="G38" s="303">
        <f t="shared" si="3"/>
        <v>0</v>
      </c>
      <c r="H38" s="304">
        <v>0</v>
      </c>
      <c r="I38" s="304">
        <v>0</v>
      </c>
      <c r="J38" s="304">
        <v>0</v>
      </c>
      <c r="K38" s="304">
        <v>0</v>
      </c>
      <c r="L38" s="304">
        <v>0</v>
      </c>
      <c r="M38" s="304">
        <v>0</v>
      </c>
      <c r="N38" s="305">
        <v>0</v>
      </c>
      <c r="O38" s="348"/>
    </row>
    <row r="39" spans="1:15">
      <c r="A39" s="530" t="s">
        <v>246</v>
      </c>
      <c r="B39" s="57"/>
      <c r="C39" s="597">
        <v>256</v>
      </c>
      <c r="D39" s="530"/>
      <c r="E39" s="258">
        <v>0</v>
      </c>
      <c r="F39" s="530"/>
      <c r="G39" s="303">
        <f t="shared" si="3"/>
        <v>0</v>
      </c>
      <c r="H39" s="304">
        <v>0</v>
      </c>
      <c r="I39" s="304">
        <v>0</v>
      </c>
      <c r="J39" s="304">
        <v>0</v>
      </c>
      <c r="K39" s="304">
        <v>0</v>
      </c>
      <c r="L39" s="304">
        <v>0</v>
      </c>
      <c r="M39" s="304">
        <v>0</v>
      </c>
      <c r="N39" s="305">
        <v>0</v>
      </c>
      <c r="O39" s="348"/>
    </row>
    <row r="40" spans="1:15">
      <c r="A40" s="530" t="s">
        <v>247</v>
      </c>
      <c r="B40" s="57"/>
      <c r="C40" s="597">
        <v>257</v>
      </c>
      <c r="D40" s="530"/>
      <c r="E40" s="258">
        <v>0</v>
      </c>
      <c r="F40" s="530"/>
      <c r="G40" s="303">
        <f t="shared" si="3"/>
        <v>0</v>
      </c>
      <c r="H40" s="304">
        <v>0</v>
      </c>
      <c r="I40" s="304">
        <v>0</v>
      </c>
      <c r="J40" s="304">
        <v>0</v>
      </c>
      <c r="K40" s="304">
        <v>0</v>
      </c>
      <c r="L40" s="304">
        <v>0</v>
      </c>
      <c r="M40" s="304">
        <v>0</v>
      </c>
      <c r="N40" s="305">
        <v>0</v>
      </c>
      <c r="O40" s="348"/>
    </row>
    <row r="41" spans="1:15">
      <c r="A41" s="530" t="s">
        <v>248</v>
      </c>
      <c r="B41" s="57"/>
      <c r="C41" s="597" t="s">
        <v>249</v>
      </c>
      <c r="D41" s="530"/>
      <c r="E41" s="258">
        <v>0</v>
      </c>
      <c r="F41" s="530"/>
      <c r="G41" s="303">
        <f t="shared" si="3"/>
        <v>0</v>
      </c>
      <c r="H41" s="304">
        <v>0</v>
      </c>
      <c r="I41" s="304">
        <v>0</v>
      </c>
      <c r="J41" s="304">
        <v>0</v>
      </c>
      <c r="K41" s="304">
        <v>0</v>
      </c>
      <c r="L41" s="304">
        <v>0</v>
      </c>
      <c r="M41" s="304">
        <v>0</v>
      </c>
      <c r="N41" s="305">
        <v>0</v>
      </c>
      <c r="O41" s="348"/>
    </row>
    <row r="42" spans="1:15">
      <c r="A42" s="601" t="s">
        <v>250</v>
      </c>
      <c r="B42" s="57"/>
      <c r="C42" s="621" t="s">
        <v>251</v>
      </c>
      <c r="D42" s="601"/>
      <c r="E42" s="258">
        <v>0</v>
      </c>
      <c r="F42" s="601"/>
      <c r="G42" s="303">
        <f t="shared" si="3"/>
        <v>0</v>
      </c>
      <c r="H42" s="304">
        <v>0</v>
      </c>
      <c r="I42" s="304">
        <v>0</v>
      </c>
      <c r="J42" s="304">
        <v>0</v>
      </c>
      <c r="K42" s="304">
        <v>0</v>
      </c>
      <c r="L42" s="304">
        <v>0</v>
      </c>
      <c r="M42" s="304">
        <v>0</v>
      </c>
      <c r="N42" s="305">
        <v>0</v>
      </c>
      <c r="O42" s="348"/>
    </row>
    <row r="43" spans="1:15">
      <c r="A43" s="601" t="s">
        <v>252</v>
      </c>
      <c r="B43" s="57"/>
      <c r="C43" s="621" t="s">
        <v>253</v>
      </c>
      <c r="D43" s="601"/>
      <c r="E43" s="258">
        <v>0</v>
      </c>
      <c r="F43" s="601"/>
      <c r="G43" s="303">
        <f t="shared" si="3"/>
        <v>0</v>
      </c>
      <c r="H43" s="304">
        <v>0</v>
      </c>
      <c r="I43" s="304">
        <v>0</v>
      </c>
      <c r="J43" s="304">
        <v>0</v>
      </c>
      <c r="K43" s="304">
        <v>0</v>
      </c>
      <c r="L43" s="304">
        <v>0</v>
      </c>
      <c r="M43" s="304">
        <v>0</v>
      </c>
      <c r="N43" s="305">
        <v>0</v>
      </c>
      <c r="O43" s="318" t="s">
        <v>951</v>
      </c>
    </row>
    <row r="44" spans="1:15">
      <c r="A44" s="622" t="s">
        <v>254</v>
      </c>
      <c r="B44" s="601"/>
      <c r="C44" s="621"/>
      <c r="D44" s="359">
        <f>SUM(D27:D43)</f>
        <v>0</v>
      </c>
      <c r="E44" s="42">
        <f t="shared" ref="E44:N44" si="4">SUM(E22:E43)</f>
        <v>0</v>
      </c>
      <c r="F44" s="359">
        <f>SUM(F27:F43)</f>
        <v>35</v>
      </c>
      <c r="G44" s="43">
        <f t="shared" si="4"/>
        <v>20371</v>
      </c>
      <c r="H44" s="43">
        <f t="shared" si="4"/>
        <v>135</v>
      </c>
      <c r="I44" s="43">
        <f t="shared" si="4"/>
        <v>20236</v>
      </c>
      <c r="J44" s="43">
        <f t="shared" si="4"/>
        <v>0</v>
      </c>
      <c r="K44" s="43">
        <f>SUM(K22:K43)</f>
        <v>0</v>
      </c>
      <c r="L44" s="43">
        <f t="shared" si="4"/>
        <v>0</v>
      </c>
      <c r="M44" s="43">
        <f t="shared" si="4"/>
        <v>0</v>
      </c>
      <c r="N44" s="43">
        <f t="shared" si="4"/>
        <v>0</v>
      </c>
      <c r="O44" s="348"/>
    </row>
    <row r="45" spans="1:15">
      <c r="A45" s="622" t="s">
        <v>255</v>
      </c>
      <c r="B45" s="629"/>
      <c r="C45" s="630"/>
      <c r="D45" s="262"/>
      <c r="E45" s="236"/>
      <c r="F45" s="262"/>
      <c r="G45" s="235">
        <f>SUM(H45:M45)</f>
        <v>0</v>
      </c>
      <c r="H45" s="235"/>
      <c r="I45" s="235"/>
      <c r="J45" s="235"/>
      <c r="K45" s="235"/>
      <c r="L45" s="235"/>
      <c r="M45" s="235">
        <v>0</v>
      </c>
      <c r="N45" s="235"/>
      <c r="O45" s="348"/>
    </row>
    <row r="46" spans="1:15">
      <c r="A46" s="622" t="s">
        <v>256</v>
      </c>
      <c r="B46" s="631"/>
      <c r="C46" s="632"/>
      <c r="D46" s="48"/>
      <c r="E46" s="42">
        <f>E44+E20+E13-E45</f>
        <v>0</v>
      </c>
      <c r="F46" s="48"/>
      <c r="G46" s="17">
        <f t="shared" ref="G46:N46" si="5">G44+G20+G13-G45</f>
        <v>20371</v>
      </c>
      <c r="H46" s="17">
        <f t="shared" si="5"/>
        <v>135</v>
      </c>
      <c r="I46" s="17">
        <f t="shared" si="5"/>
        <v>20236</v>
      </c>
      <c r="J46" s="17">
        <f t="shared" si="5"/>
        <v>0</v>
      </c>
      <c r="K46" s="17">
        <f t="shared" si="5"/>
        <v>0</v>
      </c>
      <c r="L46" s="17">
        <f t="shared" si="5"/>
        <v>0</v>
      </c>
      <c r="M46" s="17">
        <f t="shared" si="5"/>
        <v>0</v>
      </c>
      <c r="N46" s="17">
        <f t="shared" si="5"/>
        <v>0</v>
      </c>
      <c r="O46" s="346"/>
    </row>
    <row r="47" spans="1:15">
      <c r="I47" s="257"/>
    </row>
    <row r="48" spans="1:15" ht="15" customHeight="1">
      <c r="A48" s="855" t="s">
        <v>1542</v>
      </c>
      <c r="B48" s="856"/>
      <c r="C48" s="856"/>
      <c r="D48" s="856"/>
      <c r="E48" s="856"/>
      <c r="F48" s="856"/>
      <c r="G48" s="856"/>
      <c r="H48" s="856"/>
      <c r="I48" s="856"/>
      <c r="J48" s="856"/>
      <c r="K48" s="856"/>
      <c r="L48" s="856"/>
      <c r="M48" s="856"/>
      <c r="N48" s="856"/>
      <c r="O48" s="857"/>
    </row>
    <row r="49" spans="1:15">
      <c r="A49" s="858"/>
      <c r="B49" s="859"/>
      <c r="C49" s="859"/>
      <c r="D49" s="859"/>
      <c r="E49" s="859"/>
      <c r="F49" s="859"/>
      <c r="G49" s="859"/>
      <c r="H49" s="859"/>
      <c r="I49" s="859"/>
      <c r="J49" s="859"/>
      <c r="K49" s="859"/>
      <c r="L49" s="859"/>
      <c r="M49" s="859"/>
      <c r="N49" s="859"/>
      <c r="O49" s="860"/>
    </row>
    <row r="50" spans="1:15">
      <c r="A50" s="861"/>
      <c r="B50" s="862"/>
      <c r="C50" s="862"/>
      <c r="D50" s="862"/>
      <c r="E50" s="862"/>
      <c r="F50" s="862"/>
      <c r="G50" s="862"/>
      <c r="H50" s="862"/>
      <c r="I50" s="862"/>
      <c r="J50" s="862"/>
      <c r="K50" s="862"/>
      <c r="L50" s="862"/>
      <c r="M50" s="862"/>
      <c r="N50" s="862"/>
      <c r="O50" s="863"/>
    </row>
    <row r="51" spans="1:15" ht="15" customHeight="1">
      <c r="A51" s="864"/>
      <c r="B51" s="865"/>
      <c r="C51" s="865"/>
      <c r="D51" s="865"/>
      <c r="E51" s="865"/>
      <c r="F51" s="865"/>
      <c r="G51" s="865"/>
      <c r="H51" s="865"/>
      <c r="I51" s="865"/>
      <c r="J51" s="865"/>
      <c r="K51" s="865"/>
      <c r="L51" s="865"/>
      <c r="M51" s="865"/>
      <c r="N51" s="865"/>
      <c r="O51" s="866"/>
    </row>
    <row r="52" spans="1:15">
      <c r="A52" s="867"/>
      <c r="B52" s="868"/>
      <c r="C52" s="868"/>
      <c r="D52" s="868"/>
      <c r="E52" s="868"/>
      <c r="F52" s="868"/>
      <c r="G52" s="868"/>
      <c r="H52" s="868"/>
      <c r="I52" s="868"/>
      <c r="J52" s="868"/>
      <c r="K52" s="868"/>
      <c r="L52" s="868"/>
      <c r="M52" s="868"/>
      <c r="N52" s="868"/>
      <c r="O52" s="869"/>
    </row>
    <row r="53" spans="1:15">
      <c r="A53" s="867"/>
      <c r="B53" s="868"/>
      <c r="C53" s="868"/>
      <c r="D53" s="868"/>
      <c r="E53" s="868"/>
      <c r="F53" s="868"/>
      <c r="G53" s="868"/>
      <c r="H53" s="868"/>
      <c r="I53" s="868"/>
      <c r="J53" s="868"/>
      <c r="K53" s="868"/>
      <c r="L53" s="868"/>
      <c r="M53" s="868"/>
      <c r="N53" s="868"/>
      <c r="O53" s="869"/>
    </row>
    <row r="54" spans="1:15">
      <c r="A54" s="870"/>
      <c r="B54" s="871"/>
      <c r="C54" s="871"/>
      <c r="D54" s="871"/>
      <c r="E54" s="871"/>
      <c r="F54" s="871"/>
      <c r="G54" s="871"/>
      <c r="H54" s="871"/>
      <c r="I54" s="871"/>
      <c r="J54" s="871"/>
      <c r="K54" s="871"/>
      <c r="L54" s="871"/>
      <c r="M54" s="871"/>
      <c r="N54" s="871"/>
      <c r="O54" s="872"/>
    </row>
    <row r="55" spans="1:15" ht="15" customHeight="1">
      <c r="A55" s="864"/>
      <c r="B55" s="865"/>
      <c r="C55" s="865"/>
      <c r="D55" s="865"/>
      <c r="E55" s="865"/>
      <c r="F55" s="865"/>
      <c r="G55" s="865"/>
      <c r="H55" s="865"/>
      <c r="I55" s="865"/>
      <c r="J55" s="865"/>
      <c r="K55" s="865"/>
      <c r="L55" s="865"/>
      <c r="M55" s="865"/>
      <c r="N55" s="865"/>
      <c r="O55" s="866"/>
    </row>
    <row r="56" spans="1:15">
      <c r="A56" s="867"/>
      <c r="B56" s="868"/>
      <c r="C56" s="868"/>
      <c r="D56" s="868"/>
      <c r="E56" s="868"/>
      <c r="F56" s="868"/>
      <c r="G56" s="868"/>
      <c r="H56" s="868"/>
      <c r="I56" s="868"/>
      <c r="J56" s="868"/>
      <c r="K56" s="868"/>
      <c r="L56" s="868"/>
      <c r="M56" s="868"/>
      <c r="N56" s="868"/>
      <c r="O56" s="869"/>
    </row>
    <row r="57" spans="1:15">
      <c r="A57" s="867"/>
      <c r="B57" s="868"/>
      <c r="C57" s="868"/>
      <c r="D57" s="868"/>
      <c r="E57" s="868"/>
      <c r="F57" s="868"/>
      <c r="G57" s="868"/>
      <c r="H57" s="868"/>
      <c r="I57" s="868"/>
      <c r="J57" s="868"/>
      <c r="K57" s="868"/>
      <c r="L57" s="868"/>
      <c r="M57" s="868"/>
      <c r="N57" s="868"/>
      <c r="O57" s="869"/>
    </row>
    <row r="58" spans="1:15">
      <c r="A58" s="870"/>
      <c r="B58" s="871"/>
      <c r="C58" s="871"/>
      <c r="D58" s="871"/>
      <c r="E58" s="871"/>
      <c r="F58" s="871"/>
      <c r="G58" s="871"/>
      <c r="H58" s="871"/>
      <c r="I58" s="871"/>
      <c r="J58" s="871"/>
      <c r="K58" s="871"/>
      <c r="L58" s="871"/>
      <c r="M58" s="871"/>
      <c r="N58" s="871"/>
      <c r="O58" s="872"/>
    </row>
    <row r="60" spans="1:15" ht="15" thickBot="1"/>
    <row r="61" spans="1:15" ht="15.5">
      <c r="A61" s="873" t="s">
        <v>257</v>
      </c>
      <c r="B61" s="874"/>
      <c r="C61" s="874"/>
      <c r="D61" s="874"/>
      <c r="E61" s="874"/>
      <c r="F61" s="874"/>
      <c r="G61" s="550"/>
      <c r="H61" s="31"/>
      <c r="I61" s="31"/>
      <c r="J61" s="31"/>
      <c r="K61" s="31"/>
      <c r="L61" s="31"/>
      <c r="M61" s="31"/>
      <c r="N61" s="536"/>
    </row>
    <row r="62" spans="1:15" ht="15.5">
      <c r="A62" s="875"/>
      <c r="B62" s="876"/>
      <c r="C62" s="876"/>
      <c r="D62" s="876"/>
      <c r="E62" s="876"/>
      <c r="F62" s="876"/>
      <c r="G62" s="551"/>
      <c r="H62" s="31"/>
      <c r="I62" s="31"/>
      <c r="J62" s="31"/>
      <c r="K62" s="31"/>
      <c r="L62" s="31"/>
      <c r="M62" s="31"/>
      <c r="N62" s="536"/>
    </row>
    <row r="63" spans="1:15">
      <c r="A63" s="877" t="s">
        <v>258</v>
      </c>
      <c r="B63" s="878"/>
      <c r="C63" s="552"/>
      <c r="D63" s="552"/>
      <c r="E63" s="552"/>
      <c r="F63" s="552"/>
      <c r="G63" s="551"/>
      <c r="H63" s="31"/>
      <c r="I63" s="31"/>
      <c r="J63" s="31"/>
      <c r="K63" s="31"/>
      <c r="L63" s="31"/>
      <c r="M63" s="31"/>
      <c r="N63" s="536"/>
    </row>
    <row r="64" spans="1:15">
      <c r="A64" s="553" t="s">
        <v>1009</v>
      </c>
      <c r="B64" s="554">
        <f>+E46</f>
        <v>0</v>
      </c>
      <c r="C64" s="555"/>
      <c r="D64" s="556"/>
      <c r="E64" s="556"/>
      <c r="F64" s="556"/>
      <c r="G64" s="551"/>
      <c r="H64" s="31"/>
      <c r="I64" s="31"/>
      <c r="J64" s="31"/>
      <c r="K64" s="31"/>
      <c r="L64" s="31"/>
      <c r="M64" s="31"/>
      <c r="N64" s="536"/>
    </row>
    <row r="65" spans="1:14">
      <c r="A65" s="557" t="s">
        <v>1010</v>
      </c>
      <c r="B65" s="558">
        <f>+G46</f>
        <v>20371</v>
      </c>
      <c r="C65" s="555"/>
      <c r="D65" s="556"/>
      <c r="E65" s="556"/>
      <c r="F65" s="556"/>
      <c r="G65" s="551"/>
      <c r="H65" s="31"/>
      <c r="I65" s="31"/>
      <c r="J65" s="31"/>
      <c r="K65" s="31"/>
      <c r="L65" s="31"/>
      <c r="M65" s="31"/>
      <c r="N65" s="536"/>
    </row>
    <row r="66" spans="1:14">
      <c r="A66" s="559" t="s">
        <v>259</v>
      </c>
      <c r="B66" s="560">
        <f>+B65-B64</f>
        <v>20371</v>
      </c>
      <c r="C66" s="555"/>
      <c r="D66" s="556"/>
      <c r="E66" s="556"/>
      <c r="F66" s="556"/>
      <c r="G66" s="551"/>
      <c r="H66" s="31"/>
      <c r="I66" s="31"/>
      <c r="J66" s="31"/>
      <c r="K66" s="31"/>
      <c r="L66" s="31"/>
      <c r="M66" s="31"/>
      <c r="N66" s="536"/>
    </row>
    <row r="67" spans="1:14">
      <c r="A67" s="559" t="s">
        <v>260</v>
      </c>
      <c r="B67" s="561" t="e">
        <f>+B66/B64</f>
        <v>#DIV/0!</v>
      </c>
      <c r="C67" s="555"/>
      <c r="D67" s="556"/>
      <c r="E67" s="556"/>
      <c r="F67" s="556"/>
      <c r="G67" s="551"/>
      <c r="H67" s="31"/>
      <c r="I67" s="31"/>
      <c r="J67" s="31"/>
      <c r="K67" s="31"/>
      <c r="L67" s="31"/>
      <c r="M67" s="31"/>
      <c r="N67" s="536"/>
    </row>
    <row r="68" spans="1:14">
      <c r="A68" s="562"/>
      <c r="B68" s="556"/>
      <c r="C68" s="825"/>
      <c r="D68" s="556"/>
      <c r="E68" s="556"/>
      <c r="F68" s="556"/>
      <c r="G68" s="551"/>
      <c r="H68" s="31"/>
      <c r="I68" s="31"/>
      <c r="J68" s="31"/>
      <c r="K68" s="31"/>
      <c r="L68" s="31"/>
      <c r="M68" s="31"/>
      <c r="N68" s="536"/>
    </row>
    <row r="69" spans="1:14">
      <c r="A69" s="879" t="s">
        <v>261</v>
      </c>
      <c r="B69" s="880"/>
      <c r="C69" s="880"/>
      <c r="D69" s="880"/>
      <c r="E69" s="880"/>
      <c r="F69" s="880"/>
      <c r="G69" s="551"/>
      <c r="H69" s="31"/>
      <c r="I69" s="31"/>
      <c r="J69" s="31"/>
      <c r="K69" s="31"/>
      <c r="L69" s="31"/>
      <c r="M69" s="31"/>
      <c r="N69" s="536"/>
    </row>
    <row r="70" spans="1:14" ht="27" customHeight="1">
      <c r="A70" s="881" t="s">
        <v>1140</v>
      </c>
      <c r="B70" s="882"/>
      <c r="C70" s="882"/>
      <c r="D70" s="882"/>
      <c r="E70" s="882"/>
      <c r="F70" s="883"/>
      <c r="G70" s="551"/>
      <c r="H70" s="31"/>
      <c r="I70" s="31"/>
      <c r="J70" s="31"/>
      <c r="K70" s="31"/>
      <c r="L70" s="31"/>
      <c r="M70" s="31"/>
      <c r="N70" s="536"/>
    </row>
    <row r="71" spans="1:14">
      <c r="A71" s="563"/>
      <c r="B71" s="564"/>
      <c r="C71" s="564"/>
      <c r="D71" s="564"/>
      <c r="E71" s="564"/>
      <c r="F71" s="564"/>
      <c r="G71" s="551"/>
      <c r="H71" s="31"/>
      <c r="I71" s="31"/>
      <c r="J71" s="31"/>
      <c r="K71" s="31"/>
      <c r="L71" s="31"/>
      <c r="M71" s="31"/>
      <c r="N71" s="536"/>
    </row>
    <row r="72" spans="1:14">
      <c r="A72" s="565" t="s">
        <v>262</v>
      </c>
      <c r="B72" s="556"/>
      <c r="C72" s="825"/>
      <c r="D72" s="556"/>
      <c r="E72" s="556"/>
      <c r="F72" s="556"/>
      <c r="G72" s="551"/>
      <c r="H72" s="31"/>
      <c r="I72" s="31"/>
      <c r="J72" s="31"/>
      <c r="K72" s="31"/>
      <c r="L72" s="31"/>
      <c r="M72" s="31"/>
      <c r="N72" s="536"/>
    </row>
    <row r="73" spans="1:14">
      <c r="A73" s="884"/>
      <c r="B73" s="885"/>
      <c r="C73" s="885"/>
      <c r="D73" s="885"/>
      <c r="E73" s="885"/>
      <c r="F73" s="886"/>
      <c r="G73" s="551"/>
      <c r="H73" s="31"/>
      <c r="I73" s="31"/>
      <c r="J73" s="31"/>
      <c r="K73" s="31"/>
      <c r="L73" s="31"/>
      <c r="M73" s="31"/>
      <c r="N73" s="536"/>
    </row>
    <row r="74" spans="1:14">
      <c r="A74" s="562"/>
      <c r="B74" s="556"/>
      <c r="C74" s="825"/>
      <c r="D74" s="556"/>
      <c r="E74" s="556"/>
      <c r="F74" s="556"/>
      <c r="G74" s="551"/>
      <c r="H74" s="31"/>
      <c r="I74" s="31"/>
      <c r="J74" s="31"/>
      <c r="K74" s="31"/>
      <c r="L74" s="31"/>
      <c r="M74" s="31"/>
      <c r="N74" s="536"/>
    </row>
    <row r="75" spans="1:14">
      <c r="A75" s="879" t="s">
        <v>1020</v>
      </c>
      <c r="B75" s="880"/>
      <c r="C75" s="880"/>
      <c r="D75" s="880"/>
      <c r="E75" s="880"/>
      <c r="F75" s="880"/>
      <c r="G75" s="551"/>
      <c r="H75" s="31"/>
      <c r="I75" s="31"/>
      <c r="J75" s="31"/>
      <c r="K75" s="31"/>
      <c r="L75" s="31"/>
      <c r="M75" s="31"/>
      <c r="N75" s="536"/>
    </row>
    <row r="76" spans="1:14">
      <c r="A76" s="887" t="s">
        <v>1021</v>
      </c>
      <c r="B76" s="888"/>
      <c r="C76" s="888"/>
      <c r="D76" s="888"/>
      <c r="E76" s="888"/>
      <c r="F76" s="888"/>
      <c r="G76" s="551"/>
      <c r="H76" s="31"/>
      <c r="I76" s="31"/>
      <c r="J76" s="31"/>
      <c r="K76" s="31"/>
      <c r="L76" s="31"/>
      <c r="M76" s="31"/>
      <c r="N76" s="536"/>
    </row>
    <row r="77" spans="1:14" ht="30" customHeight="1">
      <c r="A77" s="881" t="s">
        <v>1141</v>
      </c>
      <c r="B77" s="882"/>
      <c r="C77" s="882"/>
      <c r="D77" s="882"/>
      <c r="E77" s="882"/>
      <c r="F77" s="883"/>
      <c r="G77" s="551"/>
      <c r="H77" s="31"/>
      <c r="I77" s="31"/>
      <c r="J77" s="31"/>
      <c r="K77" s="31"/>
      <c r="L77" s="31"/>
      <c r="M77" s="31"/>
      <c r="N77" s="536"/>
    </row>
    <row r="78" spans="1:14">
      <c r="A78" s="565"/>
      <c r="B78" s="556"/>
      <c r="C78" s="825"/>
      <c r="D78" s="556"/>
      <c r="E78" s="556"/>
      <c r="F78" s="556"/>
      <c r="G78" s="551"/>
      <c r="H78" s="31"/>
      <c r="I78" s="31"/>
      <c r="J78" s="31"/>
      <c r="K78" s="31"/>
      <c r="L78" s="31"/>
      <c r="M78" s="31"/>
      <c r="N78" s="536"/>
    </row>
    <row r="79" spans="1:14">
      <c r="A79" s="879" t="s">
        <v>264</v>
      </c>
      <c r="B79" s="880"/>
      <c r="C79" s="880"/>
      <c r="D79" s="880"/>
      <c r="E79" s="880"/>
      <c r="F79" s="556"/>
      <c r="G79" s="551"/>
      <c r="H79" s="31"/>
      <c r="I79" s="31"/>
      <c r="J79" s="31"/>
      <c r="K79" s="31"/>
      <c r="L79" s="31"/>
      <c r="M79" s="31"/>
      <c r="N79" s="536"/>
    </row>
    <row r="80" spans="1:14">
      <c r="A80" s="889"/>
      <c r="B80" s="890"/>
      <c r="C80" s="890"/>
      <c r="D80" s="890"/>
      <c r="E80" s="890"/>
      <c r="F80" s="891"/>
      <c r="G80" s="551"/>
      <c r="H80" s="31"/>
      <c r="I80" s="31"/>
      <c r="J80" s="31"/>
      <c r="K80" s="31"/>
      <c r="L80" s="31"/>
      <c r="M80" s="31"/>
      <c r="N80" s="536"/>
    </row>
    <row r="81" spans="1:14">
      <c r="A81" s="562"/>
      <c r="B81" s="556"/>
      <c r="C81" s="825"/>
      <c r="D81" s="556"/>
      <c r="E81" s="556"/>
      <c r="F81" s="556"/>
      <c r="G81" s="551"/>
      <c r="H81" s="31"/>
      <c r="I81" s="31"/>
      <c r="J81" s="31"/>
      <c r="K81" s="31"/>
      <c r="L81" s="31"/>
      <c r="M81" s="31"/>
      <c r="N81" s="536"/>
    </row>
    <row r="82" spans="1:14">
      <c r="A82" s="565" t="s">
        <v>265</v>
      </c>
      <c r="B82" s="556"/>
      <c r="C82" s="825"/>
      <c r="D82" s="556"/>
      <c r="E82" s="556"/>
      <c r="F82" s="556"/>
      <c r="G82" s="551"/>
      <c r="H82" s="31"/>
      <c r="I82" s="31"/>
      <c r="J82" s="31"/>
      <c r="K82" s="31"/>
      <c r="L82" s="31"/>
      <c r="M82" s="31"/>
      <c r="N82" s="536"/>
    </row>
    <row r="83" spans="1:14">
      <c r="A83" s="566" t="s">
        <v>266</v>
      </c>
      <c r="B83" s="556"/>
      <c r="C83" s="825"/>
      <c r="D83" s="556"/>
      <c r="E83" s="556"/>
      <c r="F83" s="556"/>
      <c r="G83" s="551"/>
      <c r="H83" s="31"/>
      <c r="I83" s="31"/>
      <c r="J83" s="31"/>
      <c r="K83" s="31"/>
      <c r="L83" s="31"/>
      <c r="M83" s="31"/>
      <c r="N83" s="536"/>
    </row>
    <row r="84" spans="1:14" ht="29" customHeight="1">
      <c r="A84" s="892" t="s">
        <v>1030</v>
      </c>
      <c r="B84" s="893"/>
      <c r="C84" s="893"/>
      <c r="D84" s="893"/>
      <c r="E84" s="893"/>
      <c r="F84" s="893"/>
      <c r="G84" s="551"/>
      <c r="H84" s="31"/>
      <c r="I84" s="31"/>
      <c r="J84" s="31"/>
      <c r="K84" s="31"/>
      <c r="L84" s="31"/>
      <c r="M84" s="31"/>
      <c r="N84" s="536"/>
    </row>
    <row r="85" spans="1:14" ht="29" customHeight="1">
      <c r="A85" s="881" t="s">
        <v>1142</v>
      </c>
      <c r="B85" s="882"/>
      <c r="C85" s="882"/>
      <c r="D85" s="882"/>
      <c r="E85" s="882"/>
      <c r="F85" s="883"/>
      <c r="G85" s="551"/>
      <c r="H85" s="31"/>
      <c r="I85" s="31"/>
      <c r="J85" s="31"/>
      <c r="K85" s="31"/>
      <c r="L85" s="31"/>
      <c r="M85" s="31"/>
      <c r="N85" s="536"/>
    </row>
    <row r="86" spans="1:14">
      <c r="A86" s="894"/>
      <c r="B86" s="895"/>
      <c r="C86" s="895"/>
      <c r="D86" s="895"/>
      <c r="E86" s="895"/>
      <c r="F86" s="895"/>
      <c r="G86" s="551"/>
      <c r="H86" s="31"/>
      <c r="I86" s="31"/>
      <c r="J86" s="31"/>
      <c r="K86" s="31"/>
      <c r="L86" s="31"/>
      <c r="M86" s="31"/>
      <c r="N86" s="536"/>
    </row>
    <row r="87" spans="1:14">
      <c r="A87" s="566" t="s">
        <v>268</v>
      </c>
      <c r="B87" s="556"/>
      <c r="C87" s="825"/>
      <c r="D87" s="556"/>
      <c r="E87" s="556"/>
      <c r="F87" s="556"/>
      <c r="G87" s="551"/>
      <c r="H87" s="31"/>
      <c r="I87" s="31"/>
      <c r="J87" s="31"/>
      <c r="K87" s="31"/>
      <c r="L87" s="31"/>
      <c r="M87" s="31"/>
      <c r="N87" s="536"/>
    </row>
    <row r="88" spans="1:14" ht="30.5" customHeight="1">
      <c r="A88" s="896" t="s">
        <v>269</v>
      </c>
      <c r="B88" s="897"/>
      <c r="C88" s="897"/>
      <c r="D88" s="897"/>
      <c r="E88" s="897"/>
      <c r="F88" s="897"/>
      <c r="G88" s="551"/>
      <c r="H88" s="31"/>
      <c r="I88" s="31"/>
      <c r="J88" s="31"/>
      <c r="K88" s="31"/>
      <c r="L88" s="31"/>
      <c r="M88" s="31"/>
      <c r="N88" s="536"/>
    </row>
    <row r="89" spans="1:14">
      <c r="A89" s="889" t="s">
        <v>452</v>
      </c>
      <c r="B89" s="890"/>
      <c r="C89" s="890"/>
      <c r="D89" s="890"/>
      <c r="E89" s="890"/>
      <c r="F89" s="891"/>
      <c r="G89" s="551"/>
      <c r="H89" s="31"/>
      <c r="I89" s="31"/>
      <c r="J89" s="31"/>
      <c r="K89" s="31"/>
      <c r="L89" s="31"/>
      <c r="M89" s="31"/>
      <c r="N89" s="536"/>
    </row>
    <row r="90" spans="1:14" ht="15" thickBot="1">
      <c r="A90" s="567"/>
      <c r="B90" s="568"/>
      <c r="C90" s="569"/>
      <c r="D90" s="568"/>
      <c r="E90" s="568"/>
      <c r="F90" s="568"/>
      <c r="G90" s="570"/>
      <c r="H90" s="31"/>
      <c r="I90" s="31"/>
      <c r="J90" s="31"/>
      <c r="K90" s="31"/>
      <c r="L90" s="31"/>
      <c r="M90" s="31"/>
      <c r="N90" s="536"/>
    </row>
    <row r="91" spans="1:14">
      <c r="A91" s="31"/>
      <c r="B91" s="31"/>
      <c r="C91" s="32"/>
      <c r="D91" s="31"/>
      <c r="E91" s="31"/>
      <c r="F91" s="31"/>
      <c r="G91" s="31"/>
      <c r="H91" s="31"/>
      <c r="I91" s="31"/>
      <c r="J91" s="31"/>
      <c r="K91" s="31"/>
      <c r="L91" s="31"/>
      <c r="M91" s="31"/>
      <c r="N91" s="536"/>
    </row>
  </sheetData>
  <mergeCells count="20">
    <mergeCell ref="A88:F88"/>
    <mergeCell ref="A89:F89"/>
    <mergeCell ref="A77:F77"/>
    <mergeCell ref="A79:E79"/>
    <mergeCell ref="A80:F80"/>
    <mergeCell ref="A84:F84"/>
    <mergeCell ref="A85:F85"/>
    <mergeCell ref="A86:F86"/>
    <mergeCell ref="A76:F76"/>
    <mergeCell ref="A1:O1"/>
    <mergeCell ref="A48:O50"/>
    <mergeCell ref="A51:O54"/>
    <mergeCell ref="A55:O58"/>
    <mergeCell ref="A61:F61"/>
    <mergeCell ref="A62:F62"/>
    <mergeCell ref="A63:B63"/>
    <mergeCell ref="A69:F69"/>
    <mergeCell ref="A70:F70"/>
    <mergeCell ref="A73:F73"/>
    <mergeCell ref="A75:F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S80"/>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7.81640625" customWidth="1"/>
    <col min="5" max="5" width="10.7265625" customWidth="1"/>
    <col min="6" max="6" width="11.26953125" customWidth="1"/>
    <col min="7" max="7" width="7.81640625" customWidth="1"/>
    <col min="8" max="8" width="7" customWidth="1"/>
    <col min="9" max="10" width="7.1796875" customWidth="1"/>
    <col min="11" max="11" width="7.7265625" customWidth="1"/>
    <col min="12" max="12" width="8.1796875" customWidth="1"/>
    <col min="13" max="13" width="7.7265625" customWidth="1"/>
    <col min="14" max="14" width="34" customWidth="1"/>
  </cols>
  <sheetData>
    <row r="1" spans="1:14" ht="15.5">
      <c r="A1" s="854" t="s">
        <v>270</v>
      </c>
      <c r="B1" s="854"/>
      <c r="C1" s="854"/>
      <c r="D1" s="854"/>
      <c r="E1" s="854"/>
      <c r="F1" s="854"/>
      <c r="G1" s="854"/>
      <c r="H1" s="854"/>
      <c r="I1" s="854"/>
      <c r="J1" s="854"/>
      <c r="K1" s="854"/>
      <c r="L1" s="854"/>
      <c r="M1" s="854"/>
      <c r="N1" s="854"/>
    </row>
    <row r="2" spans="1:14">
      <c r="A2" s="702" t="s">
        <v>271</v>
      </c>
      <c r="B2" s="639"/>
      <c r="C2" s="639"/>
      <c r="D2" s="370"/>
      <c r="E2" s="370"/>
      <c r="F2" s="370"/>
      <c r="G2" s="370"/>
      <c r="H2" s="370"/>
      <c r="I2" s="370"/>
      <c r="J2" s="370"/>
      <c r="K2" s="370"/>
      <c r="L2" s="370"/>
      <c r="M2" s="370"/>
      <c r="N2" s="370"/>
    </row>
    <row r="3" spans="1:14">
      <c r="A3" s="506" t="s">
        <v>272</v>
      </c>
      <c r="B3" s="370"/>
      <c r="C3" s="639"/>
      <c r="D3" s="370"/>
      <c r="E3" s="370"/>
      <c r="F3" s="529" t="s">
        <v>210</v>
      </c>
      <c r="G3" s="370"/>
      <c r="H3" s="370"/>
      <c r="I3" s="370"/>
      <c r="J3" s="370"/>
      <c r="K3" s="370"/>
      <c r="L3" s="370"/>
      <c r="M3" s="370"/>
      <c r="N3" s="370"/>
    </row>
    <row r="4" spans="1:14">
      <c r="A4" s="506" t="s">
        <v>807</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t="s">
        <v>274</v>
      </c>
      <c r="E8" s="258">
        <v>0</v>
      </c>
      <c r="F8" s="303">
        <f>SUM(G8:M8)</f>
        <v>0</v>
      </c>
      <c r="G8" s="304">
        <v>0</v>
      </c>
      <c r="H8" s="304">
        <v>0</v>
      </c>
      <c r="I8" s="304">
        <v>0</v>
      </c>
      <c r="J8" s="304">
        <v>0</v>
      </c>
      <c r="K8" s="304">
        <v>0</v>
      </c>
      <c r="L8" s="304">
        <v>0</v>
      </c>
      <c r="M8" s="305">
        <v>0</v>
      </c>
      <c r="N8" s="348"/>
    </row>
    <row r="9" spans="1:14" ht="15" customHeight="1">
      <c r="A9" s="36" t="s">
        <v>217</v>
      </c>
      <c r="B9" s="259"/>
      <c r="C9" s="37" t="s">
        <v>218</v>
      </c>
      <c r="D9" s="39"/>
      <c r="E9" s="258">
        <v>0</v>
      </c>
      <c r="F9" s="303">
        <f>SUM(G9:M9)</f>
        <v>0</v>
      </c>
      <c r="G9" s="304">
        <v>0</v>
      </c>
      <c r="H9" s="304">
        <v>0</v>
      </c>
      <c r="I9" s="304">
        <v>0</v>
      </c>
      <c r="J9" s="304">
        <v>0</v>
      </c>
      <c r="K9" s="304">
        <v>0</v>
      </c>
      <c r="L9" s="304">
        <v>0</v>
      </c>
      <c r="M9" s="305">
        <v>0</v>
      </c>
      <c r="N9" s="348"/>
    </row>
    <row r="10" spans="1:14">
      <c r="A10" s="36" t="s">
        <v>217</v>
      </c>
      <c r="B10" s="260"/>
      <c r="C10" s="37" t="s">
        <v>218</v>
      </c>
      <c r="D10" s="39"/>
      <c r="E10" s="258">
        <v>0</v>
      </c>
      <c r="F10" s="303">
        <f>SUM(G10:M10)</f>
        <v>0</v>
      </c>
      <c r="G10" s="304">
        <v>0</v>
      </c>
      <c r="H10" s="304">
        <v>0</v>
      </c>
      <c r="I10" s="304">
        <v>0</v>
      </c>
      <c r="J10" s="304">
        <v>0</v>
      </c>
      <c r="K10" s="304">
        <v>0</v>
      </c>
      <c r="L10" s="304">
        <v>0</v>
      </c>
      <c r="M10" s="305">
        <v>0</v>
      </c>
      <c r="N10" s="348"/>
    </row>
    <row r="11" spans="1:14">
      <c r="A11" s="40" t="s">
        <v>219</v>
      </c>
      <c r="B11" s="260"/>
      <c r="C11" s="261"/>
      <c r="D11" s="41">
        <f t="shared" ref="D11:M11" si="0">SUM(D7:D10)</f>
        <v>0</v>
      </c>
      <c r="E11" s="42">
        <f>SUM(E7:E10)</f>
        <v>0</v>
      </c>
      <c r="F11" s="43">
        <f t="shared" si="0"/>
        <v>0</v>
      </c>
      <c r="G11" s="43">
        <f t="shared" si="0"/>
        <v>0</v>
      </c>
      <c r="H11" s="43">
        <f t="shared" si="0"/>
        <v>0</v>
      </c>
      <c r="I11" s="43">
        <f t="shared" si="0"/>
        <v>0</v>
      </c>
      <c r="J11" s="43">
        <f t="shared" si="0"/>
        <v>0</v>
      </c>
      <c r="K11" s="43">
        <f t="shared" si="0"/>
        <v>0</v>
      </c>
      <c r="L11" s="43">
        <f t="shared" si="0"/>
        <v>0</v>
      </c>
      <c r="M11" s="43">
        <f t="shared" si="0"/>
        <v>0</v>
      </c>
      <c r="N11" s="348"/>
    </row>
    <row r="12" spans="1:14">
      <c r="A12" s="125" t="s">
        <v>220</v>
      </c>
      <c r="B12" s="126"/>
      <c r="C12" s="127"/>
      <c r="D12" s="126"/>
      <c r="E12" s="126"/>
      <c r="F12" s="87"/>
      <c r="G12" s="87"/>
      <c r="H12" s="87"/>
      <c r="I12" s="87"/>
      <c r="J12" s="87"/>
      <c r="K12" s="87"/>
      <c r="L12" s="87"/>
      <c r="M12" s="87"/>
      <c r="N12" s="87"/>
    </row>
    <row r="13" spans="1:14" ht="58">
      <c r="A13" s="71" t="s">
        <v>275</v>
      </c>
      <c r="B13" s="259" t="s">
        <v>276</v>
      </c>
      <c r="C13" s="44">
        <v>253</v>
      </c>
      <c r="D13" s="45"/>
      <c r="E13" s="258">
        <v>75</v>
      </c>
      <c r="F13" s="350">
        <f>SUM(G13:M13)</f>
        <v>75</v>
      </c>
      <c r="G13" s="304">
        <v>0</v>
      </c>
      <c r="H13" s="304">
        <v>0</v>
      </c>
      <c r="I13" s="304">
        <v>0</v>
      </c>
      <c r="J13" s="304">
        <v>0</v>
      </c>
      <c r="K13" s="304">
        <v>0</v>
      </c>
      <c r="L13" s="304">
        <v>75</v>
      </c>
      <c r="M13" s="305">
        <v>0</v>
      </c>
      <c r="N13" s="320" t="s">
        <v>277</v>
      </c>
    </row>
    <row r="14" spans="1:14">
      <c r="A14" s="259" t="s">
        <v>278</v>
      </c>
      <c r="B14" s="259"/>
      <c r="C14" s="44">
        <v>253</v>
      </c>
      <c r="D14" s="45"/>
      <c r="E14" s="258">
        <v>0</v>
      </c>
      <c r="F14" s="350">
        <f>SUM(G14:M14)</f>
        <v>0</v>
      </c>
      <c r="G14" s="304">
        <v>0</v>
      </c>
      <c r="H14" s="304">
        <v>0</v>
      </c>
      <c r="I14" s="304">
        <v>0</v>
      </c>
      <c r="J14" s="304">
        <v>0</v>
      </c>
      <c r="K14" s="304">
        <v>0</v>
      </c>
      <c r="L14" s="304">
        <v>0</v>
      </c>
      <c r="M14" s="305">
        <v>0</v>
      </c>
      <c r="N14" s="319"/>
    </row>
    <row r="15" spans="1:14">
      <c r="A15" s="259" t="s">
        <v>278</v>
      </c>
      <c r="B15" s="259"/>
      <c r="C15" s="44">
        <v>253</v>
      </c>
      <c r="D15" s="262"/>
      <c r="E15" s="258">
        <v>0</v>
      </c>
      <c r="F15" s="350">
        <f>SUM(G15:M15)</f>
        <v>0</v>
      </c>
      <c r="G15" s="304">
        <v>0</v>
      </c>
      <c r="H15" s="304">
        <v>0</v>
      </c>
      <c r="I15" s="304">
        <v>0</v>
      </c>
      <c r="J15" s="304">
        <v>0</v>
      </c>
      <c r="K15" s="304">
        <v>0</v>
      </c>
      <c r="L15" s="304">
        <v>0</v>
      </c>
      <c r="M15" s="305">
        <v>0</v>
      </c>
      <c r="N15" s="348"/>
    </row>
    <row r="16" spans="1:14" s="7" customFormat="1">
      <c r="A16" s="259" t="s">
        <v>278</v>
      </c>
      <c r="B16" s="259"/>
      <c r="C16" s="44">
        <v>253</v>
      </c>
      <c r="D16" s="262"/>
      <c r="E16" s="258">
        <v>0</v>
      </c>
      <c r="F16" s="350">
        <f>SUM(G16:M16)</f>
        <v>0</v>
      </c>
      <c r="G16" s="304">
        <v>0</v>
      </c>
      <c r="H16" s="304">
        <v>0</v>
      </c>
      <c r="I16" s="304">
        <v>0</v>
      </c>
      <c r="J16" s="304">
        <v>0</v>
      </c>
      <c r="K16" s="304"/>
      <c r="L16" s="304">
        <v>0</v>
      </c>
      <c r="M16" s="305">
        <v>0</v>
      </c>
      <c r="N16" s="319"/>
    </row>
    <row r="17" spans="1:19">
      <c r="A17" s="40" t="s">
        <v>225</v>
      </c>
      <c r="B17" s="260"/>
      <c r="C17" s="261"/>
      <c r="D17" s="262">
        <f t="shared" ref="D17:M17" si="1">SUM(D13:D16)</f>
        <v>0</v>
      </c>
      <c r="E17" s="42">
        <v>75</v>
      </c>
      <c r="F17" s="43">
        <f t="shared" si="1"/>
        <v>75</v>
      </c>
      <c r="G17" s="43">
        <f t="shared" si="1"/>
        <v>0</v>
      </c>
      <c r="H17" s="43">
        <f t="shared" si="1"/>
        <v>0</v>
      </c>
      <c r="I17" s="43">
        <f t="shared" si="1"/>
        <v>0</v>
      </c>
      <c r="J17" s="43">
        <f t="shared" si="1"/>
        <v>0</v>
      </c>
      <c r="K17" s="43">
        <f t="shared" si="1"/>
        <v>0</v>
      </c>
      <c r="L17" s="43">
        <f t="shared" si="1"/>
        <v>75</v>
      </c>
      <c r="M17" s="43">
        <f t="shared" si="1"/>
        <v>0</v>
      </c>
      <c r="N17" s="348"/>
      <c r="O17" s="370"/>
      <c r="P17" s="370"/>
      <c r="Q17" s="370"/>
      <c r="R17" s="370"/>
      <c r="S17" s="370"/>
    </row>
    <row r="18" spans="1:19" s="7" customFormat="1">
      <c r="A18" s="125" t="s">
        <v>279</v>
      </c>
      <c r="B18" s="126"/>
      <c r="C18" s="127"/>
      <c r="D18" s="126"/>
      <c r="E18" s="126"/>
      <c r="F18" s="87"/>
      <c r="G18" s="87"/>
      <c r="H18" s="87"/>
      <c r="I18" s="87"/>
      <c r="J18" s="87"/>
      <c r="K18" s="87"/>
      <c r="L18" s="87"/>
      <c r="M18" s="87"/>
      <c r="N18" s="128"/>
      <c r="O18" s="351"/>
      <c r="P18" s="351"/>
      <c r="Q18" s="370"/>
      <c r="R18" s="351"/>
      <c r="S18" s="351"/>
    </row>
    <row r="19" spans="1:19" ht="33.65" customHeight="1">
      <c r="A19" s="259" t="s">
        <v>227</v>
      </c>
      <c r="B19" s="36"/>
      <c r="C19" s="37" t="s">
        <v>228</v>
      </c>
      <c r="D19" s="38">
        <v>0</v>
      </c>
      <c r="E19" s="258">
        <f>SUM(F19:M19)</f>
        <v>0</v>
      </c>
      <c r="F19" s="303">
        <f t="shared" ref="F19:F34" si="2">SUM(G19:M19)</f>
        <v>0</v>
      </c>
      <c r="G19" s="304">
        <v>0</v>
      </c>
      <c r="H19" s="304">
        <v>0</v>
      </c>
      <c r="I19" s="304">
        <v>0</v>
      </c>
      <c r="J19" s="304">
        <v>0</v>
      </c>
      <c r="K19" s="304">
        <v>0</v>
      </c>
      <c r="L19" s="304">
        <v>0</v>
      </c>
      <c r="M19" s="305">
        <v>0</v>
      </c>
      <c r="N19" s="374"/>
      <c r="O19" s="370"/>
      <c r="P19" s="370"/>
      <c r="Q19" s="370"/>
      <c r="R19" s="370"/>
      <c r="S19" s="370"/>
    </row>
    <row r="20" spans="1:19">
      <c r="A20" s="259" t="s">
        <v>227</v>
      </c>
      <c r="B20" s="36"/>
      <c r="C20" s="44" t="s">
        <v>228</v>
      </c>
      <c r="D20" s="45">
        <v>0</v>
      </c>
      <c r="E20" s="258">
        <v>0</v>
      </c>
      <c r="F20" s="303">
        <f t="shared" si="2"/>
        <v>0</v>
      </c>
      <c r="G20" s="304">
        <v>0</v>
      </c>
      <c r="H20" s="304">
        <v>0</v>
      </c>
      <c r="I20" s="304">
        <v>0</v>
      </c>
      <c r="J20" s="304">
        <v>0</v>
      </c>
      <c r="K20" s="304">
        <v>0</v>
      </c>
      <c r="L20" s="304">
        <v>0</v>
      </c>
      <c r="M20" s="305">
        <v>0</v>
      </c>
      <c r="N20" s="348"/>
      <c r="O20" s="370"/>
      <c r="P20" s="370"/>
      <c r="Q20" s="370"/>
      <c r="R20" s="370"/>
      <c r="S20" s="370"/>
    </row>
    <row r="21" spans="1:19">
      <c r="A21" s="259" t="s">
        <v>227</v>
      </c>
      <c r="B21" s="36"/>
      <c r="C21" s="44" t="s">
        <v>228</v>
      </c>
      <c r="D21" s="45">
        <v>0</v>
      </c>
      <c r="E21" s="258">
        <v>0</v>
      </c>
      <c r="F21" s="303">
        <f t="shared" si="2"/>
        <v>0</v>
      </c>
      <c r="G21" s="304">
        <v>0</v>
      </c>
      <c r="H21" s="304">
        <v>0</v>
      </c>
      <c r="I21" s="304">
        <v>0</v>
      </c>
      <c r="J21" s="304">
        <v>0</v>
      </c>
      <c r="K21" s="304">
        <v>0</v>
      </c>
      <c r="L21" s="304">
        <v>0</v>
      </c>
      <c r="M21" s="305">
        <v>0</v>
      </c>
      <c r="N21" s="348"/>
      <c r="O21" s="370"/>
      <c r="P21" s="370"/>
      <c r="Q21" s="370"/>
      <c r="R21" s="370"/>
      <c r="S21" s="370"/>
    </row>
    <row r="22" spans="1:19">
      <c r="A22" s="259" t="s">
        <v>227</v>
      </c>
      <c r="B22" s="36"/>
      <c r="C22" s="44" t="s">
        <v>228</v>
      </c>
      <c r="D22" s="45">
        <v>0</v>
      </c>
      <c r="E22" s="258">
        <v>0</v>
      </c>
      <c r="F22" s="303">
        <f t="shared" si="2"/>
        <v>0</v>
      </c>
      <c r="G22" s="304">
        <v>0</v>
      </c>
      <c r="H22" s="304">
        <v>0</v>
      </c>
      <c r="I22" s="304">
        <v>0</v>
      </c>
      <c r="J22" s="304">
        <v>0</v>
      </c>
      <c r="K22" s="304">
        <v>0</v>
      </c>
      <c r="L22" s="304">
        <v>0</v>
      </c>
      <c r="M22" s="305">
        <v>0</v>
      </c>
      <c r="N22" s="348"/>
      <c r="O22" s="370"/>
      <c r="P22" s="370"/>
      <c r="Q22" s="370"/>
      <c r="R22" s="370"/>
      <c r="S22" s="370"/>
    </row>
    <row r="23" spans="1:19">
      <c r="A23" s="259" t="s">
        <v>227</v>
      </c>
      <c r="B23" s="36"/>
      <c r="C23" s="44" t="s">
        <v>228</v>
      </c>
      <c r="D23" s="45"/>
      <c r="E23" s="258">
        <v>0</v>
      </c>
      <c r="F23" s="303">
        <f t="shared" si="2"/>
        <v>0</v>
      </c>
      <c r="G23" s="304">
        <v>0</v>
      </c>
      <c r="H23" s="304">
        <v>0</v>
      </c>
      <c r="I23" s="304">
        <v>0</v>
      </c>
      <c r="J23" s="304">
        <v>0</v>
      </c>
      <c r="K23" s="304"/>
      <c r="L23" s="304"/>
      <c r="M23" s="305"/>
      <c r="N23" s="348"/>
      <c r="O23" s="370"/>
      <c r="P23" s="370"/>
      <c r="Q23" s="370"/>
      <c r="R23" s="370"/>
      <c r="S23" s="370"/>
    </row>
    <row r="24" spans="1:19">
      <c r="A24" s="259" t="s">
        <v>227</v>
      </c>
      <c r="B24" s="36"/>
      <c r="C24" s="44" t="s">
        <v>228</v>
      </c>
      <c r="D24" s="45">
        <v>0</v>
      </c>
      <c r="E24" s="258">
        <v>0</v>
      </c>
      <c r="F24" s="303">
        <f t="shared" si="2"/>
        <v>0</v>
      </c>
      <c r="G24" s="304">
        <v>0</v>
      </c>
      <c r="H24" s="304">
        <v>0</v>
      </c>
      <c r="I24" s="304">
        <v>0</v>
      </c>
      <c r="J24" s="304">
        <v>0</v>
      </c>
      <c r="K24" s="304"/>
      <c r="L24" s="304"/>
      <c r="M24" s="305"/>
      <c r="N24" s="348"/>
      <c r="O24" s="370"/>
      <c r="P24" s="370"/>
      <c r="Q24" s="370"/>
      <c r="R24" s="370"/>
      <c r="S24" s="370"/>
    </row>
    <row r="25" spans="1:19">
      <c r="A25" s="259" t="s">
        <v>233</v>
      </c>
      <c r="B25" s="36"/>
      <c r="C25" s="44" t="s">
        <v>234</v>
      </c>
      <c r="D25" s="45"/>
      <c r="E25" s="258">
        <v>0</v>
      </c>
      <c r="F25" s="303">
        <f t="shared" si="2"/>
        <v>0</v>
      </c>
      <c r="G25" s="304">
        <v>0</v>
      </c>
      <c r="H25" s="304">
        <v>0</v>
      </c>
      <c r="I25" s="304">
        <v>0</v>
      </c>
      <c r="J25" s="304">
        <v>0</v>
      </c>
      <c r="K25" s="304">
        <v>0</v>
      </c>
      <c r="L25" s="304">
        <v>0</v>
      </c>
      <c r="M25" s="305">
        <v>0</v>
      </c>
      <c r="N25" s="348"/>
      <c r="O25" s="370"/>
      <c r="P25" s="281"/>
      <c r="Q25" s="281"/>
      <c r="R25" s="281"/>
      <c r="S25" s="281"/>
    </row>
    <row r="26" spans="1:19">
      <c r="A26" s="259" t="s">
        <v>235</v>
      </c>
      <c r="B26" s="36"/>
      <c r="C26" s="44">
        <v>251</v>
      </c>
      <c r="D26" s="259"/>
      <c r="E26" s="258">
        <v>0</v>
      </c>
      <c r="F26" s="303">
        <f t="shared" si="2"/>
        <v>0</v>
      </c>
      <c r="G26" s="304">
        <v>0</v>
      </c>
      <c r="H26" s="304">
        <v>0</v>
      </c>
      <c r="I26" s="304">
        <v>0</v>
      </c>
      <c r="J26" s="304">
        <v>0</v>
      </c>
      <c r="K26" s="304"/>
      <c r="L26" s="304">
        <v>0</v>
      </c>
      <c r="M26" s="305">
        <v>0</v>
      </c>
      <c r="N26" s="348"/>
      <c r="O26" s="370"/>
      <c r="P26" s="370"/>
      <c r="Q26" s="370"/>
      <c r="R26" s="370"/>
      <c r="S26" s="370"/>
    </row>
    <row r="27" spans="1:19">
      <c r="A27" s="259" t="s">
        <v>242</v>
      </c>
      <c r="B27" s="36"/>
      <c r="C27" s="44">
        <v>252</v>
      </c>
      <c r="D27" s="259"/>
      <c r="E27" s="258">
        <v>0</v>
      </c>
      <c r="F27" s="303">
        <f t="shared" si="2"/>
        <v>0</v>
      </c>
      <c r="G27" s="304">
        <v>0</v>
      </c>
      <c r="H27" s="304">
        <v>0</v>
      </c>
      <c r="I27" s="304">
        <v>0</v>
      </c>
      <c r="J27" s="304">
        <v>0</v>
      </c>
      <c r="K27" s="304"/>
      <c r="L27" s="304">
        <v>0</v>
      </c>
      <c r="M27" s="305">
        <v>0</v>
      </c>
      <c r="N27" s="348"/>
      <c r="O27" s="370"/>
      <c r="P27" s="370"/>
      <c r="Q27" s="370"/>
      <c r="R27" s="370"/>
      <c r="S27" s="370"/>
    </row>
    <row r="28" spans="1:19">
      <c r="A28" s="259" t="s">
        <v>243</v>
      </c>
      <c r="B28" s="36"/>
      <c r="C28" s="44">
        <v>252</v>
      </c>
      <c r="D28" s="259"/>
      <c r="E28" s="258">
        <v>0</v>
      </c>
      <c r="F28" s="303">
        <f t="shared" si="2"/>
        <v>0</v>
      </c>
      <c r="G28" s="304">
        <v>0</v>
      </c>
      <c r="H28" s="304">
        <v>0</v>
      </c>
      <c r="I28" s="304">
        <v>0</v>
      </c>
      <c r="J28" s="304">
        <v>0</v>
      </c>
      <c r="K28" s="304"/>
      <c r="L28" s="304">
        <v>0</v>
      </c>
      <c r="M28" s="305">
        <v>0</v>
      </c>
      <c r="N28" s="348"/>
      <c r="O28" s="370"/>
      <c r="P28" s="370"/>
      <c r="Q28" s="370"/>
      <c r="R28" s="370"/>
      <c r="S28" s="370"/>
    </row>
    <row r="29" spans="1:19">
      <c r="A29" s="259" t="s">
        <v>244</v>
      </c>
      <c r="B29" s="36"/>
      <c r="C29" s="44">
        <v>253</v>
      </c>
      <c r="D29" s="259"/>
      <c r="E29" s="258">
        <v>0</v>
      </c>
      <c r="F29" s="303">
        <f t="shared" si="2"/>
        <v>0</v>
      </c>
      <c r="G29" s="304">
        <v>0</v>
      </c>
      <c r="H29" s="304">
        <v>0</v>
      </c>
      <c r="I29" s="304">
        <v>0</v>
      </c>
      <c r="J29" s="304">
        <v>0</v>
      </c>
      <c r="K29" s="304"/>
      <c r="L29" s="304">
        <v>0</v>
      </c>
      <c r="M29" s="305">
        <v>0</v>
      </c>
      <c r="N29" s="348"/>
      <c r="O29" s="370"/>
      <c r="P29" s="370"/>
      <c r="Q29" s="370"/>
      <c r="R29" s="370"/>
      <c r="S29" s="370"/>
    </row>
    <row r="30" spans="1:19">
      <c r="A30" s="259" t="s">
        <v>245</v>
      </c>
      <c r="B30" s="371"/>
      <c r="C30" s="44">
        <v>255</v>
      </c>
      <c r="D30" s="259"/>
      <c r="E30" s="258">
        <v>0</v>
      </c>
      <c r="F30" s="303">
        <f t="shared" si="2"/>
        <v>0</v>
      </c>
      <c r="G30" s="304">
        <v>0</v>
      </c>
      <c r="H30" s="304">
        <v>0</v>
      </c>
      <c r="I30" s="304">
        <v>0</v>
      </c>
      <c r="J30" s="304">
        <v>0</v>
      </c>
      <c r="K30" s="304"/>
      <c r="L30" s="304">
        <v>0</v>
      </c>
      <c r="M30" s="305">
        <v>0</v>
      </c>
      <c r="N30" s="348"/>
      <c r="O30" s="370"/>
      <c r="P30" s="370"/>
      <c r="Q30" s="370"/>
      <c r="R30" s="370"/>
      <c r="S30" s="370"/>
    </row>
    <row r="31" spans="1:19">
      <c r="A31" s="260" t="s">
        <v>246</v>
      </c>
      <c r="B31" s="36"/>
      <c r="C31" s="261">
        <v>256</v>
      </c>
      <c r="D31" s="260"/>
      <c r="E31" s="258">
        <v>0</v>
      </c>
      <c r="F31" s="303">
        <f t="shared" si="2"/>
        <v>0</v>
      </c>
      <c r="G31" s="304">
        <v>0</v>
      </c>
      <c r="H31" s="304">
        <v>0</v>
      </c>
      <c r="I31" s="304">
        <v>0</v>
      </c>
      <c r="J31" s="304">
        <v>0</v>
      </c>
      <c r="K31" s="304"/>
      <c r="L31" s="304">
        <v>0</v>
      </c>
      <c r="M31" s="305">
        <v>0</v>
      </c>
      <c r="N31" s="348"/>
      <c r="O31" s="370"/>
      <c r="P31" s="370"/>
      <c r="Q31" s="370"/>
      <c r="R31" s="370"/>
      <c r="S31" s="370"/>
    </row>
    <row r="32" spans="1:19">
      <c r="A32" s="259" t="s">
        <v>247</v>
      </c>
      <c r="B32" s="36"/>
      <c r="C32" s="44">
        <v>257</v>
      </c>
      <c r="D32" s="259"/>
      <c r="E32" s="258">
        <v>0</v>
      </c>
      <c r="F32" s="303">
        <f t="shared" si="2"/>
        <v>0</v>
      </c>
      <c r="G32" s="304">
        <v>0</v>
      </c>
      <c r="H32" s="304">
        <v>0</v>
      </c>
      <c r="I32" s="304">
        <v>0</v>
      </c>
      <c r="J32" s="304">
        <v>0</v>
      </c>
      <c r="K32" s="304"/>
      <c r="L32" s="304">
        <v>0</v>
      </c>
      <c r="M32" s="305">
        <v>0</v>
      </c>
      <c r="N32" s="348"/>
      <c r="O32" s="370"/>
      <c r="P32" s="370"/>
      <c r="Q32" s="370"/>
      <c r="R32" s="370"/>
      <c r="S32" s="370"/>
    </row>
    <row r="33" spans="1:14">
      <c r="A33" s="260" t="s">
        <v>248</v>
      </c>
      <c r="B33" s="36"/>
      <c r="C33" s="261" t="s">
        <v>249</v>
      </c>
      <c r="D33" s="260"/>
      <c r="E33" s="258">
        <v>0</v>
      </c>
      <c r="F33" s="303">
        <f t="shared" si="2"/>
        <v>0</v>
      </c>
      <c r="G33" s="304">
        <v>0</v>
      </c>
      <c r="H33" s="304">
        <v>0</v>
      </c>
      <c r="I33" s="304">
        <v>0</v>
      </c>
      <c r="J33" s="304">
        <v>0</v>
      </c>
      <c r="K33" s="304">
        <v>0</v>
      </c>
      <c r="L33" s="304">
        <v>0</v>
      </c>
      <c r="M33" s="305">
        <v>0</v>
      </c>
      <c r="N33" s="320"/>
    </row>
    <row r="34" spans="1:14">
      <c r="A34" s="260" t="s">
        <v>250</v>
      </c>
      <c r="B34" s="36"/>
      <c r="C34" s="261" t="s">
        <v>251</v>
      </c>
      <c r="D34" s="260"/>
      <c r="E34" s="258">
        <v>0</v>
      </c>
      <c r="F34" s="303">
        <f t="shared" si="2"/>
        <v>0</v>
      </c>
      <c r="G34" s="304">
        <v>0</v>
      </c>
      <c r="H34" s="304">
        <v>0</v>
      </c>
      <c r="I34" s="304">
        <v>0</v>
      </c>
      <c r="J34" s="304">
        <v>0</v>
      </c>
      <c r="K34" s="304">
        <v>0</v>
      </c>
      <c r="L34" s="304">
        <v>0</v>
      </c>
      <c r="M34" s="305">
        <v>0</v>
      </c>
      <c r="N34" s="348"/>
    </row>
    <row r="35" spans="1:14">
      <c r="A35" s="40" t="s">
        <v>254</v>
      </c>
      <c r="B35" s="46"/>
      <c r="C35" s="47"/>
      <c r="D35" s="48"/>
      <c r="E35" s="42">
        <f>SUM(E19:E34)</f>
        <v>0</v>
      </c>
      <c r="F35" s="17">
        <f t="shared" ref="F35:M35" si="3">SUM(F19:F34)</f>
        <v>0</v>
      </c>
      <c r="G35" s="17">
        <f t="shared" si="3"/>
        <v>0</v>
      </c>
      <c r="H35" s="17">
        <f t="shared" si="3"/>
        <v>0</v>
      </c>
      <c r="I35" s="17">
        <f t="shared" si="3"/>
        <v>0</v>
      </c>
      <c r="J35" s="17">
        <f t="shared" si="3"/>
        <v>0</v>
      </c>
      <c r="K35" s="17">
        <f t="shared" si="3"/>
        <v>0</v>
      </c>
      <c r="L35" s="17">
        <f t="shared" si="3"/>
        <v>0</v>
      </c>
      <c r="M35" s="17">
        <f t="shared" si="3"/>
        <v>0</v>
      </c>
      <c r="N35" s="346"/>
    </row>
    <row r="36" spans="1:14" s="149" customFormat="1">
      <c r="A36" s="40" t="s">
        <v>255</v>
      </c>
      <c r="B36" s="51"/>
      <c r="C36" s="147"/>
      <c r="D36" s="262"/>
      <c r="E36" s="236"/>
      <c r="F36" s="235">
        <f>SUM(G36:L36)</f>
        <v>0</v>
      </c>
      <c r="G36" s="235"/>
      <c r="H36" s="235"/>
      <c r="I36" s="235"/>
      <c r="J36" s="235"/>
      <c r="K36" s="235"/>
      <c r="L36" s="235"/>
      <c r="M36" s="235"/>
      <c r="N36" s="348"/>
    </row>
    <row r="37" spans="1:14">
      <c r="A37" s="40" t="s">
        <v>256</v>
      </c>
      <c r="B37" s="46"/>
      <c r="C37" s="47"/>
      <c r="D37" s="48">
        <f>D35+D17+D11</f>
        <v>0</v>
      </c>
      <c r="E37" s="42">
        <f>+E35+E17+E11-E36</f>
        <v>75</v>
      </c>
      <c r="F37" s="17">
        <f t="shared" ref="F37:M37" si="4">F35+F17+F11-F36</f>
        <v>75</v>
      </c>
      <c r="G37" s="17">
        <f t="shared" si="4"/>
        <v>0</v>
      </c>
      <c r="H37" s="17">
        <f t="shared" si="4"/>
        <v>0</v>
      </c>
      <c r="I37" s="17">
        <f t="shared" si="4"/>
        <v>0</v>
      </c>
      <c r="J37" s="17">
        <f t="shared" si="4"/>
        <v>0</v>
      </c>
      <c r="K37" s="17">
        <f t="shared" si="4"/>
        <v>0</v>
      </c>
      <c r="L37" s="17">
        <f t="shared" si="4"/>
        <v>75</v>
      </c>
      <c r="M37" s="17">
        <f t="shared" si="4"/>
        <v>0</v>
      </c>
      <c r="N37" s="160"/>
    </row>
    <row r="39" spans="1:14" ht="29">
      <c r="A39" s="370"/>
      <c r="B39" s="370"/>
      <c r="C39" s="639"/>
      <c r="D39" s="370"/>
      <c r="E39" s="283" t="s">
        <v>280</v>
      </c>
      <c r="F39" s="650" t="s">
        <v>1331</v>
      </c>
      <c r="G39" s="252"/>
      <c r="H39" s="370"/>
      <c r="I39" s="370"/>
      <c r="J39" s="370"/>
      <c r="K39" s="370"/>
      <c r="L39" s="370"/>
      <c r="M39" s="370"/>
      <c r="N39" s="370"/>
    </row>
    <row r="40" spans="1:14" ht="16.149999999999999" customHeight="1">
      <c r="A40" s="370"/>
      <c r="B40" s="370"/>
      <c r="C40" s="283" t="s">
        <v>27</v>
      </c>
      <c r="D40" s="370"/>
      <c r="E40" s="499">
        <f>+F37-E41</f>
        <v>46</v>
      </c>
      <c r="F40" s="382">
        <f>+F37*'Prep%Fuelspercentage.direct'!B38</f>
        <v>52.244999999999997</v>
      </c>
      <c r="G40" s="252"/>
      <c r="H40" s="370"/>
      <c r="I40" s="370"/>
      <c r="J40" s="370"/>
      <c r="K40" s="370"/>
      <c r="L40" s="370"/>
      <c r="M40" s="370"/>
      <c r="N40" s="370"/>
    </row>
    <row r="41" spans="1:14">
      <c r="A41" s="370"/>
      <c r="B41" s="370"/>
      <c r="C41" s="283" t="s">
        <v>25</v>
      </c>
      <c r="D41" s="370"/>
      <c r="E41" s="501">
        <f>+E46</f>
        <v>29</v>
      </c>
      <c r="F41" s="416">
        <f>+F37-F40</f>
        <v>22.755000000000003</v>
      </c>
      <c r="G41" s="370"/>
      <c r="H41" s="370"/>
      <c r="I41" s="370"/>
      <c r="J41" s="370"/>
      <c r="K41" s="370"/>
      <c r="L41" s="370"/>
      <c r="M41" s="370"/>
      <c r="N41" s="370"/>
    </row>
    <row r="42" spans="1:14">
      <c r="A42" s="370"/>
      <c r="B42" s="370"/>
      <c r="C42" s="639"/>
      <c r="D42" s="370"/>
      <c r="E42" s="370">
        <f>SUM(E40:E41)</f>
        <v>75</v>
      </c>
      <c r="F42" s="382">
        <f>SUM(F40:F41)</f>
        <v>75</v>
      </c>
      <c r="G42" s="370"/>
      <c r="H42" s="370"/>
      <c r="I42" s="370"/>
      <c r="J42" s="370"/>
      <c r="K42" s="370"/>
      <c r="L42" s="370"/>
      <c r="M42" s="370"/>
      <c r="N42" s="370"/>
    </row>
    <row r="44" spans="1:14">
      <c r="A44" s="370"/>
      <c r="B44" s="370"/>
      <c r="C44" s="639" t="s">
        <v>735</v>
      </c>
      <c r="D44" s="370"/>
      <c r="E44" s="370" t="s">
        <v>282</v>
      </c>
      <c r="F44" s="370" t="s">
        <v>281</v>
      </c>
      <c r="G44" s="370"/>
      <c r="H44" s="370"/>
      <c r="I44" s="370"/>
      <c r="J44" s="370"/>
      <c r="K44" s="370"/>
      <c r="L44" s="370"/>
      <c r="M44" s="370"/>
      <c r="N44" s="370"/>
    </row>
    <row r="45" spans="1:14">
      <c r="A45" s="370"/>
      <c r="B45" s="370"/>
      <c r="C45" s="283" t="s">
        <v>27</v>
      </c>
      <c r="D45" s="370"/>
      <c r="E45" s="370">
        <v>46</v>
      </c>
      <c r="F45" s="382">
        <v>46</v>
      </c>
      <c r="G45" s="370"/>
      <c r="H45" s="370"/>
      <c r="I45" s="370"/>
      <c r="J45" s="370"/>
      <c r="K45" s="370"/>
      <c r="L45" s="370"/>
      <c r="M45" s="370"/>
      <c r="N45" s="370"/>
    </row>
    <row r="46" spans="1:14">
      <c r="A46" s="370"/>
      <c r="B46" s="370"/>
      <c r="C46" s="283" t="s">
        <v>25</v>
      </c>
      <c r="D46" s="370"/>
      <c r="E46" s="251">
        <v>29</v>
      </c>
      <c r="F46" s="416">
        <f>+F37-F45</f>
        <v>29</v>
      </c>
      <c r="G46" s="370"/>
      <c r="H46" s="370"/>
      <c r="I46" s="370"/>
      <c r="J46" s="370"/>
      <c r="K46" s="370"/>
      <c r="L46" s="370"/>
      <c r="M46" s="370"/>
      <c r="N46" s="370"/>
    </row>
    <row r="47" spans="1:14">
      <c r="A47" s="370"/>
      <c r="B47" s="370"/>
      <c r="C47" s="639"/>
      <c r="D47" s="370"/>
      <c r="E47" s="370">
        <f>SUM(E45:E46)</f>
        <v>75</v>
      </c>
      <c r="F47" s="382">
        <f>SUM(F45:F46)</f>
        <v>75</v>
      </c>
      <c r="G47" s="370"/>
      <c r="H47" s="370"/>
      <c r="I47" s="370"/>
      <c r="J47" s="370"/>
      <c r="K47" s="370"/>
      <c r="L47" s="370"/>
      <c r="M47" s="370"/>
      <c r="N47" s="370"/>
    </row>
    <row r="49" spans="1:14" s="370" customFormat="1" ht="15" thickBot="1">
      <c r="A49" s="31"/>
      <c r="B49" s="31"/>
      <c r="C49" s="32"/>
      <c r="D49" s="31"/>
      <c r="E49" s="31"/>
      <c r="F49" s="31"/>
      <c r="G49" s="31"/>
      <c r="H49" s="31"/>
      <c r="I49" s="31"/>
      <c r="J49" s="31"/>
      <c r="K49" s="31"/>
      <c r="L49" s="31"/>
      <c r="M49" s="31"/>
      <c r="N49" s="536"/>
    </row>
    <row r="50" spans="1:14" s="370" customFormat="1" ht="15.5">
      <c r="A50" s="873" t="s">
        <v>257</v>
      </c>
      <c r="B50" s="874"/>
      <c r="C50" s="874"/>
      <c r="D50" s="874"/>
      <c r="E50" s="874"/>
      <c r="F50" s="874"/>
      <c r="G50" s="550"/>
      <c r="H50" s="31"/>
      <c r="I50" s="31"/>
      <c r="J50" s="31"/>
      <c r="K50" s="31"/>
      <c r="L50" s="31"/>
      <c r="M50" s="31"/>
      <c r="N50" s="536"/>
    </row>
    <row r="51" spans="1:14" s="370" customFormat="1" ht="15.5">
      <c r="A51" s="875"/>
      <c r="B51" s="876"/>
      <c r="C51" s="876"/>
      <c r="D51" s="876"/>
      <c r="E51" s="876"/>
      <c r="F51" s="876"/>
      <c r="G51" s="551"/>
      <c r="H51" s="31"/>
      <c r="I51" s="31"/>
      <c r="J51" s="31"/>
      <c r="K51" s="31"/>
      <c r="L51" s="31"/>
      <c r="M51" s="31"/>
      <c r="N51" s="536"/>
    </row>
    <row r="52" spans="1:14" s="370" customFormat="1">
      <c r="A52" s="877" t="s">
        <v>258</v>
      </c>
      <c r="B52" s="878"/>
      <c r="C52" s="552"/>
      <c r="D52" s="552"/>
      <c r="E52" s="552"/>
      <c r="F52" s="552"/>
      <c r="G52" s="551"/>
      <c r="H52" s="31"/>
      <c r="I52" s="31"/>
      <c r="J52" s="31"/>
      <c r="K52" s="31"/>
      <c r="L52" s="31"/>
      <c r="M52" s="31"/>
      <c r="N52" s="536"/>
    </row>
    <row r="53" spans="1:14" s="370" customFormat="1">
      <c r="A53" s="553" t="s">
        <v>283</v>
      </c>
      <c r="B53" s="554">
        <f>E37</f>
        <v>75</v>
      </c>
      <c r="C53" s="555"/>
      <c r="D53" s="556"/>
      <c r="E53" s="556"/>
      <c r="F53" s="556"/>
      <c r="G53" s="551"/>
      <c r="H53" s="31"/>
      <c r="I53" s="31"/>
      <c r="J53" s="31"/>
      <c r="K53" s="31"/>
      <c r="L53" s="31"/>
      <c r="M53" s="31"/>
      <c r="N53" s="536"/>
    </row>
    <row r="54" spans="1:14" s="370" customFormat="1">
      <c r="A54" s="557" t="s">
        <v>284</v>
      </c>
      <c r="B54" s="558">
        <f>F37</f>
        <v>75</v>
      </c>
      <c r="C54" s="555"/>
      <c r="D54" s="556"/>
      <c r="E54" s="556"/>
      <c r="F54" s="556"/>
      <c r="G54" s="551"/>
      <c r="H54" s="31"/>
      <c r="I54" s="31"/>
      <c r="J54" s="31"/>
      <c r="K54" s="31"/>
      <c r="L54" s="31"/>
      <c r="M54" s="31"/>
      <c r="N54" s="536"/>
    </row>
    <row r="55" spans="1:14" s="370" customFormat="1">
      <c r="A55" s="559" t="s">
        <v>259</v>
      </c>
      <c r="B55" s="560">
        <f>B54-B53</f>
        <v>0</v>
      </c>
      <c r="C55" s="555"/>
      <c r="D55" s="556"/>
      <c r="E55" s="556"/>
      <c r="F55" s="556"/>
      <c r="G55" s="551"/>
      <c r="H55" s="31"/>
      <c r="I55" s="31"/>
      <c r="J55" s="31"/>
      <c r="K55" s="31"/>
      <c r="L55" s="31"/>
      <c r="M55" s="31"/>
      <c r="N55" s="536"/>
    </row>
    <row r="56" spans="1:14" s="370" customFormat="1">
      <c r="A56" s="559" t="s">
        <v>260</v>
      </c>
      <c r="B56" s="561">
        <f>B55/B53</f>
        <v>0</v>
      </c>
      <c r="C56" s="555"/>
      <c r="D56" s="556"/>
      <c r="E56" s="556"/>
      <c r="F56" s="556"/>
      <c r="G56" s="551"/>
      <c r="H56" s="31"/>
      <c r="I56" s="31"/>
      <c r="J56" s="31"/>
      <c r="K56" s="31"/>
      <c r="L56" s="31"/>
      <c r="M56" s="31"/>
      <c r="N56" s="536"/>
    </row>
    <row r="57" spans="1:14" s="370" customFormat="1">
      <c r="A57" s="562"/>
      <c r="B57" s="556"/>
      <c r="C57" s="638"/>
      <c r="D57" s="556"/>
      <c r="E57" s="556"/>
      <c r="F57" s="556"/>
      <c r="G57" s="551"/>
      <c r="H57" s="31"/>
      <c r="I57" s="31"/>
      <c r="J57" s="31"/>
      <c r="K57" s="31"/>
      <c r="L57" s="31"/>
      <c r="M57" s="31"/>
      <c r="N57" s="536"/>
    </row>
    <row r="58" spans="1:14" s="370" customFormat="1">
      <c r="A58" s="879" t="s">
        <v>261</v>
      </c>
      <c r="B58" s="880"/>
      <c r="C58" s="880"/>
      <c r="D58" s="880"/>
      <c r="E58" s="880"/>
      <c r="F58" s="880"/>
      <c r="G58" s="551"/>
      <c r="H58" s="31"/>
      <c r="I58" s="31"/>
      <c r="J58" s="31"/>
      <c r="K58" s="31"/>
      <c r="L58" s="31"/>
      <c r="M58" s="31"/>
      <c r="N58" s="536"/>
    </row>
    <row r="59" spans="1:14" s="370" customFormat="1">
      <c r="A59" s="881" t="s">
        <v>285</v>
      </c>
      <c r="B59" s="882"/>
      <c r="C59" s="882"/>
      <c r="D59" s="882"/>
      <c r="E59" s="882"/>
      <c r="F59" s="883"/>
      <c r="G59" s="551"/>
      <c r="H59" s="31"/>
      <c r="I59" s="31"/>
      <c r="J59" s="31"/>
      <c r="K59" s="31"/>
      <c r="L59" s="31"/>
      <c r="M59" s="31"/>
      <c r="N59" s="536"/>
    </row>
    <row r="60" spans="1:14" s="370" customFormat="1">
      <c r="A60" s="563"/>
      <c r="B60" s="564"/>
      <c r="C60" s="564"/>
      <c r="D60" s="564"/>
      <c r="E60" s="564"/>
      <c r="F60" s="564"/>
      <c r="G60" s="551"/>
      <c r="H60" s="31"/>
      <c r="I60" s="31"/>
      <c r="J60" s="31"/>
      <c r="K60" s="31"/>
      <c r="L60" s="31"/>
      <c r="M60" s="31"/>
      <c r="N60" s="536"/>
    </row>
    <row r="61" spans="1:14" s="370" customFormat="1">
      <c r="A61" s="565" t="s">
        <v>262</v>
      </c>
      <c r="B61" s="556"/>
      <c r="C61" s="638"/>
      <c r="D61" s="556"/>
      <c r="E61" s="556"/>
      <c r="F61" s="556"/>
      <c r="G61" s="551"/>
      <c r="H61" s="31"/>
      <c r="I61" s="31"/>
      <c r="J61" s="31"/>
      <c r="K61" s="31"/>
      <c r="L61" s="31"/>
      <c r="M61" s="31"/>
      <c r="N61" s="536"/>
    </row>
    <row r="62" spans="1:14" s="370" customFormat="1" ht="55" customHeight="1">
      <c r="A62" s="881" t="s">
        <v>286</v>
      </c>
      <c r="B62" s="882"/>
      <c r="C62" s="882"/>
      <c r="D62" s="882"/>
      <c r="E62" s="882"/>
      <c r="F62" s="883"/>
      <c r="G62" s="551"/>
      <c r="H62" s="31"/>
      <c r="I62" s="31"/>
      <c r="J62" s="31"/>
      <c r="K62" s="31"/>
      <c r="L62" s="31"/>
      <c r="M62" s="31"/>
      <c r="N62" s="536"/>
    </row>
    <row r="63" spans="1:14" s="370" customFormat="1">
      <c r="A63" s="562"/>
      <c r="B63" s="556"/>
      <c r="C63" s="638"/>
      <c r="D63" s="556"/>
      <c r="E63" s="556"/>
      <c r="F63" s="556"/>
      <c r="G63" s="551"/>
      <c r="H63" s="31"/>
      <c r="I63" s="31"/>
      <c r="J63" s="31"/>
      <c r="K63" s="31"/>
      <c r="L63" s="31"/>
      <c r="M63" s="31"/>
      <c r="N63" s="536"/>
    </row>
    <row r="64" spans="1:14" s="370" customFormat="1">
      <c r="A64" s="879" t="s">
        <v>287</v>
      </c>
      <c r="B64" s="880"/>
      <c r="C64" s="880"/>
      <c r="D64" s="880"/>
      <c r="E64" s="880"/>
      <c r="F64" s="880"/>
      <c r="G64" s="551"/>
      <c r="H64" s="31"/>
      <c r="I64" s="31"/>
      <c r="J64" s="31"/>
      <c r="K64" s="31"/>
      <c r="L64" s="31"/>
      <c r="M64" s="31"/>
      <c r="N64" s="536"/>
    </row>
    <row r="65" spans="1:14" s="370" customFormat="1">
      <c r="A65" s="898" t="s">
        <v>263</v>
      </c>
      <c r="B65" s="899"/>
      <c r="C65" s="899"/>
      <c r="D65" s="899"/>
      <c r="E65" s="899"/>
      <c r="F65" s="899"/>
      <c r="G65" s="551"/>
      <c r="H65" s="31"/>
      <c r="I65" s="31"/>
      <c r="J65" s="31"/>
      <c r="K65" s="31"/>
      <c r="L65" s="31"/>
      <c r="M65" s="31"/>
      <c r="N65" s="536"/>
    </row>
    <row r="66" spans="1:14" s="370" customFormat="1" ht="42.4" customHeight="1">
      <c r="A66" s="881" t="s">
        <v>288</v>
      </c>
      <c r="B66" s="882"/>
      <c r="C66" s="882"/>
      <c r="D66" s="882"/>
      <c r="E66" s="882"/>
      <c r="F66" s="883"/>
      <c r="G66" s="551"/>
      <c r="H66" s="31"/>
      <c r="I66" s="31"/>
      <c r="J66" s="31"/>
      <c r="K66" s="31"/>
      <c r="L66" s="31"/>
      <c r="M66" s="31"/>
      <c r="N66" s="536"/>
    </row>
    <row r="67" spans="1:14" s="370" customFormat="1">
      <c r="A67" s="565"/>
      <c r="B67" s="556"/>
      <c r="C67" s="638"/>
      <c r="D67" s="556"/>
      <c r="E67" s="556"/>
      <c r="F67" s="556"/>
      <c r="G67" s="551"/>
      <c r="H67" s="31"/>
      <c r="I67" s="31"/>
      <c r="J67" s="31"/>
      <c r="K67" s="31"/>
      <c r="L67" s="31"/>
      <c r="M67" s="31"/>
      <c r="N67" s="536"/>
    </row>
    <row r="68" spans="1:14" s="370" customFormat="1">
      <c r="A68" s="879" t="s">
        <v>264</v>
      </c>
      <c r="B68" s="880"/>
      <c r="C68" s="880"/>
      <c r="D68" s="880"/>
      <c r="E68" s="880"/>
      <c r="F68" s="556"/>
      <c r="G68" s="551"/>
      <c r="H68" s="31"/>
      <c r="I68" s="31"/>
      <c r="J68" s="31"/>
      <c r="K68" s="31"/>
      <c r="L68" s="31"/>
      <c r="M68" s="31"/>
      <c r="N68" s="536"/>
    </row>
    <row r="69" spans="1:14" s="370" customFormat="1" ht="30.25" customHeight="1">
      <c r="A69" s="900" t="s">
        <v>289</v>
      </c>
      <c r="B69" s="901"/>
      <c r="C69" s="901"/>
      <c r="D69" s="901"/>
      <c r="E69" s="901"/>
      <c r="F69" s="902"/>
      <c r="G69" s="551"/>
      <c r="H69" s="31"/>
      <c r="I69" s="31"/>
      <c r="J69" s="31"/>
      <c r="K69" s="31"/>
      <c r="L69" s="31"/>
      <c r="M69" s="31"/>
      <c r="N69" s="536"/>
    </row>
    <row r="70" spans="1:14" s="370" customFormat="1">
      <c r="A70" s="562"/>
      <c r="B70" s="556"/>
      <c r="C70" s="638"/>
      <c r="D70" s="556"/>
      <c r="E70" s="556"/>
      <c r="F70" s="556"/>
      <c r="G70" s="551"/>
      <c r="H70" s="31"/>
      <c r="I70" s="31"/>
      <c r="J70" s="31"/>
      <c r="K70" s="31"/>
      <c r="L70" s="31"/>
      <c r="M70" s="31"/>
      <c r="N70" s="536"/>
    </row>
    <row r="71" spans="1:14" s="370" customFormat="1">
      <c r="A71" s="565" t="s">
        <v>265</v>
      </c>
      <c r="B71" s="556"/>
      <c r="C71" s="638"/>
      <c r="D71" s="556"/>
      <c r="E71" s="556"/>
      <c r="F71" s="556"/>
      <c r="G71" s="551"/>
      <c r="H71" s="31"/>
      <c r="I71" s="31"/>
      <c r="J71" s="31"/>
      <c r="K71" s="31"/>
      <c r="L71" s="31"/>
      <c r="M71" s="31"/>
      <c r="N71" s="536"/>
    </row>
    <row r="72" spans="1:14" s="370" customFormat="1">
      <c r="A72" s="566" t="s">
        <v>266</v>
      </c>
      <c r="B72" s="556"/>
      <c r="C72" s="638"/>
      <c r="D72" s="556"/>
      <c r="E72" s="556"/>
      <c r="F72" s="556"/>
      <c r="G72" s="551"/>
      <c r="H72" s="31"/>
      <c r="I72" s="31"/>
      <c r="J72" s="31"/>
      <c r="K72" s="31"/>
      <c r="L72" s="31"/>
      <c r="M72" s="31"/>
      <c r="N72" s="536"/>
    </row>
    <row r="73" spans="1:14" s="370" customFormat="1" ht="26.25" customHeight="1">
      <c r="A73" s="892" t="s">
        <v>290</v>
      </c>
      <c r="B73" s="893"/>
      <c r="C73" s="893"/>
      <c r="D73" s="893"/>
      <c r="E73" s="893"/>
      <c r="F73" s="893"/>
      <c r="G73" s="551"/>
      <c r="H73" s="31"/>
      <c r="I73" s="31"/>
      <c r="J73" s="31"/>
      <c r="K73" s="31"/>
      <c r="L73" s="31"/>
      <c r="M73" s="31"/>
      <c r="N73" s="536"/>
    </row>
    <row r="74" spans="1:14" s="370" customFormat="1" ht="26.25" customHeight="1">
      <c r="A74" s="903"/>
      <c r="B74" s="904"/>
      <c r="C74" s="904"/>
      <c r="D74" s="904"/>
      <c r="E74" s="904"/>
      <c r="F74" s="905"/>
      <c r="G74" s="551"/>
      <c r="H74" s="31"/>
      <c r="I74" s="31"/>
      <c r="J74" s="31"/>
      <c r="K74" s="31"/>
      <c r="L74" s="31"/>
      <c r="M74" s="31"/>
      <c r="N74" s="536"/>
    </row>
    <row r="75" spans="1:14" s="370" customFormat="1">
      <c r="A75" s="894"/>
      <c r="B75" s="895"/>
      <c r="C75" s="895"/>
      <c r="D75" s="895"/>
      <c r="E75" s="895"/>
      <c r="F75" s="895"/>
      <c r="G75" s="551"/>
      <c r="H75" s="31"/>
      <c r="I75" s="31"/>
      <c r="J75" s="31"/>
      <c r="K75" s="31"/>
      <c r="L75" s="31"/>
      <c r="M75" s="31"/>
      <c r="N75" s="536"/>
    </row>
    <row r="76" spans="1:14" s="370" customFormat="1">
      <c r="A76" s="566" t="s">
        <v>268</v>
      </c>
      <c r="B76" s="556"/>
      <c r="C76" s="638"/>
      <c r="D76" s="556"/>
      <c r="E76" s="556"/>
      <c r="F76" s="556"/>
      <c r="G76" s="551"/>
      <c r="H76" s="31"/>
      <c r="I76" s="31"/>
      <c r="J76" s="31"/>
      <c r="K76" s="31"/>
      <c r="L76" s="31"/>
      <c r="M76" s="31"/>
      <c r="N76" s="536"/>
    </row>
    <row r="77" spans="1:14" s="370" customFormat="1" ht="29" customHeight="1">
      <c r="A77" s="896" t="s">
        <v>269</v>
      </c>
      <c r="B77" s="897"/>
      <c r="C77" s="897"/>
      <c r="D77" s="897"/>
      <c r="E77" s="897"/>
      <c r="F77" s="897"/>
      <c r="G77" s="551"/>
      <c r="H77" s="31"/>
      <c r="I77" s="31"/>
      <c r="J77" s="31"/>
      <c r="K77" s="31"/>
      <c r="L77" s="31"/>
      <c r="M77" s="31"/>
      <c r="N77" s="536"/>
    </row>
    <row r="78" spans="1:14" s="370" customFormat="1" ht="30.75" customHeight="1">
      <c r="A78" s="889"/>
      <c r="B78" s="890"/>
      <c r="C78" s="890"/>
      <c r="D78" s="890"/>
      <c r="E78" s="890"/>
      <c r="F78" s="891"/>
      <c r="G78" s="551"/>
      <c r="H78" s="31"/>
      <c r="I78" s="31"/>
      <c r="J78" s="31"/>
      <c r="K78" s="31"/>
      <c r="L78" s="31"/>
      <c r="M78" s="31"/>
      <c r="N78" s="536"/>
    </row>
    <row r="79" spans="1:14" s="370" customFormat="1" ht="15" thickBot="1">
      <c r="A79" s="567"/>
      <c r="B79" s="568"/>
      <c r="C79" s="569"/>
      <c r="D79" s="568"/>
      <c r="E79" s="568"/>
      <c r="F79" s="568"/>
      <c r="G79" s="570"/>
      <c r="H79" s="31"/>
      <c r="I79" s="31"/>
      <c r="J79" s="31"/>
      <c r="K79" s="31"/>
      <c r="L79" s="31"/>
      <c r="M79" s="31"/>
      <c r="N79" s="536"/>
    </row>
    <row r="80" spans="1:14" s="370" customFormat="1">
      <c r="A80" s="31"/>
      <c r="B80" s="31"/>
      <c r="C80" s="32"/>
      <c r="D80" s="31"/>
      <c r="E80" s="31"/>
      <c r="F80" s="31"/>
      <c r="G80" s="31"/>
      <c r="H80" s="31"/>
      <c r="I80" s="31"/>
      <c r="J80" s="31"/>
      <c r="K80" s="31"/>
      <c r="L80" s="31"/>
      <c r="M80" s="31"/>
      <c r="N80" s="536"/>
    </row>
  </sheetData>
  <mergeCells count="17">
    <mergeCell ref="A77:F77"/>
    <mergeCell ref="A78:F78"/>
    <mergeCell ref="A68:E68"/>
    <mergeCell ref="A69:F69"/>
    <mergeCell ref="A73:F73"/>
    <mergeCell ref="A74:F74"/>
    <mergeCell ref="A75:F75"/>
    <mergeCell ref="A59:F59"/>
    <mergeCell ref="A62:F62"/>
    <mergeCell ref="A64:F64"/>
    <mergeCell ref="A65:F65"/>
    <mergeCell ref="A66:F66"/>
    <mergeCell ref="A1:N1"/>
    <mergeCell ref="A50:F50"/>
    <mergeCell ref="A51:F51"/>
    <mergeCell ref="A52:B52"/>
    <mergeCell ref="A58:F58"/>
  </mergeCells>
  <printOptions horizontalCentered="1"/>
  <pageMargins left="0.2" right="0.2" top="0.75" bottom="0.75" header="0.3" footer="0.3"/>
  <pageSetup scale="75" fitToHeight="0" orientation="landscape" r:id="rId1"/>
  <headerFooter>
    <oddHeader xml:space="preserve">&amp;CDRAFT NOT FOR DISTRIBUTION, INTERNAL USE ONLY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N72"/>
  <sheetViews>
    <sheetView zoomScaleNormal="100" workbookViewId="0">
      <selection sqref="A1:N1"/>
    </sheetView>
  </sheetViews>
  <sheetFormatPr defaultRowHeight="14.5"/>
  <cols>
    <col min="1" max="1" width="47.2695312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36.453125" customWidth="1"/>
  </cols>
  <sheetData>
    <row r="1" spans="1:14" ht="15.5">
      <c r="A1" s="854" t="s">
        <v>165</v>
      </c>
      <c r="B1" s="854"/>
      <c r="C1" s="854"/>
      <c r="D1" s="854"/>
      <c r="E1" s="854"/>
      <c r="F1" s="854"/>
      <c r="G1" s="854"/>
      <c r="H1" s="854"/>
      <c r="I1" s="854"/>
      <c r="J1" s="854"/>
      <c r="K1" s="854"/>
      <c r="L1" s="854"/>
      <c r="M1" s="854"/>
      <c r="N1" s="854"/>
    </row>
    <row r="2" spans="1:14">
      <c r="A2" s="702" t="s">
        <v>291</v>
      </c>
      <c r="B2" s="370"/>
      <c r="C2" s="639"/>
      <c r="D2" s="370"/>
      <c r="E2" s="370"/>
      <c r="F2" s="370"/>
      <c r="G2" s="370"/>
      <c r="H2" s="370"/>
      <c r="I2" s="370"/>
      <c r="J2" s="370"/>
      <c r="K2" s="370"/>
      <c r="L2" s="370"/>
      <c r="M2" s="370"/>
      <c r="N2" s="370"/>
    </row>
    <row r="3" spans="1:14" ht="26">
      <c r="A3" s="506" t="s">
        <v>975</v>
      </c>
      <c r="B3" s="370"/>
      <c r="C3" s="639"/>
      <c r="D3" s="370"/>
      <c r="E3" s="370"/>
      <c r="F3" s="451" t="s">
        <v>210</v>
      </c>
      <c r="G3" s="370"/>
      <c r="H3" s="370"/>
      <c r="I3" s="370"/>
      <c r="J3" s="370"/>
      <c r="K3" s="370"/>
      <c r="L3" s="370"/>
      <c r="M3" s="370"/>
      <c r="N3" s="370"/>
    </row>
    <row r="4" spans="1:14">
      <c r="A4" s="506" t="s">
        <v>808</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c r="A7" s="36" t="s">
        <v>217</v>
      </c>
      <c r="B7" s="36"/>
      <c r="C7" s="37" t="s">
        <v>218</v>
      </c>
      <c r="D7" s="38"/>
      <c r="E7" s="258">
        <v>0</v>
      </c>
      <c r="F7" s="303">
        <f t="shared" ref="F7:F12" si="0">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si="0"/>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c r="A10" s="36" t="s">
        <v>217</v>
      </c>
      <c r="B10" s="259"/>
      <c r="C10" s="37" t="s">
        <v>218</v>
      </c>
      <c r="D10" s="39"/>
      <c r="E10" s="258">
        <v>0</v>
      </c>
      <c r="F10" s="303">
        <f t="shared" si="0"/>
        <v>0</v>
      </c>
      <c r="G10" s="304">
        <v>0</v>
      </c>
      <c r="H10" s="304">
        <v>0</v>
      </c>
      <c r="I10" s="304">
        <v>0</v>
      </c>
      <c r="J10" s="304">
        <v>0</v>
      </c>
      <c r="K10" s="304">
        <v>0</v>
      </c>
      <c r="L10" s="304">
        <v>0</v>
      </c>
      <c r="M10" s="305">
        <v>0</v>
      </c>
      <c r="N10" s="348"/>
    </row>
    <row r="11" spans="1:14">
      <c r="A11" s="36" t="s">
        <v>217</v>
      </c>
      <c r="B11" s="259"/>
      <c r="C11" s="37" t="s">
        <v>218</v>
      </c>
      <c r="D11" s="39"/>
      <c r="E11" s="258">
        <v>0</v>
      </c>
      <c r="F11" s="303">
        <f t="shared" si="0"/>
        <v>0</v>
      </c>
      <c r="G11" s="304">
        <v>0</v>
      </c>
      <c r="H11" s="304">
        <v>0</v>
      </c>
      <c r="I11" s="304">
        <v>0</v>
      </c>
      <c r="J11" s="304">
        <v>0</v>
      </c>
      <c r="K11" s="304">
        <v>0</v>
      </c>
      <c r="L11" s="304">
        <v>0</v>
      </c>
      <c r="M11" s="305">
        <v>0</v>
      </c>
      <c r="N11" s="348"/>
    </row>
    <row r="12" spans="1:14">
      <c r="A12" s="36" t="s">
        <v>217</v>
      </c>
      <c r="B12" s="260"/>
      <c r="C12" s="37" t="s">
        <v>218</v>
      </c>
      <c r="D12" s="39"/>
      <c r="E12" s="258">
        <v>0</v>
      </c>
      <c r="F12" s="303">
        <f t="shared" si="0"/>
        <v>0</v>
      </c>
      <c r="G12" s="304">
        <v>0</v>
      </c>
      <c r="H12" s="304">
        <v>0</v>
      </c>
      <c r="I12" s="304">
        <v>0</v>
      </c>
      <c r="J12" s="304">
        <v>0</v>
      </c>
      <c r="K12" s="304">
        <v>0</v>
      </c>
      <c r="L12" s="304">
        <v>0</v>
      </c>
      <c r="M12" s="305">
        <v>0</v>
      </c>
      <c r="N12" s="348"/>
    </row>
    <row r="13" spans="1:14">
      <c r="A13" s="40" t="s">
        <v>219</v>
      </c>
      <c r="B13" s="260"/>
      <c r="C13" s="261"/>
      <c r="D13" s="41">
        <f t="shared" ref="D13:M13" si="1">SUM(D7:D12)</f>
        <v>0</v>
      </c>
      <c r="E13" s="42">
        <v>0</v>
      </c>
      <c r="F13" s="43">
        <f t="shared" si="1"/>
        <v>0</v>
      </c>
      <c r="G13" s="43">
        <f t="shared" si="1"/>
        <v>0</v>
      </c>
      <c r="H13" s="43">
        <f t="shared" si="1"/>
        <v>0</v>
      </c>
      <c r="I13" s="43">
        <f t="shared" si="1"/>
        <v>0</v>
      </c>
      <c r="J13" s="43">
        <f t="shared" si="1"/>
        <v>0</v>
      </c>
      <c r="K13" s="43">
        <f t="shared" si="1"/>
        <v>0</v>
      </c>
      <c r="L13" s="43">
        <f t="shared" si="1"/>
        <v>0</v>
      </c>
      <c r="M13" s="43">
        <f t="shared" si="1"/>
        <v>0</v>
      </c>
      <c r="N13" s="348"/>
    </row>
    <row r="14" spans="1:14">
      <c r="A14" s="125" t="s">
        <v>220</v>
      </c>
      <c r="B14" s="126"/>
      <c r="C14" s="127"/>
      <c r="D14" s="126"/>
      <c r="E14" s="126"/>
      <c r="F14" s="87"/>
      <c r="G14" s="87"/>
      <c r="H14" s="87"/>
      <c r="I14" s="87"/>
      <c r="J14" s="87"/>
      <c r="K14" s="87"/>
      <c r="L14" s="87"/>
      <c r="M14" s="87"/>
      <c r="N14" s="87"/>
    </row>
    <row r="15" spans="1:14" ht="145">
      <c r="A15" s="259" t="s">
        <v>292</v>
      </c>
      <c r="B15" s="259" t="s">
        <v>293</v>
      </c>
      <c r="C15" s="44">
        <v>253</v>
      </c>
      <c r="D15" s="45"/>
      <c r="E15" s="258">
        <v>70</v>
      </c>
      <c r="F15" s="350">
        <f>SUM(G15:M15)</f>
        <v>70</v>
      </c>
      <c r="G15" s="304">
        <v>0</v>
      </c>
      <c r="H15" s="304">
        <v>0</v>
      </c>
      <c r="I15" s="304">
        <v>0</v>
      </c>
      <c r="J15" s="304">
        <v>0</v>
      </c>
      <c r="K15" s="304">
        <v>0</v>
      </c>
      <c r="L15" s="304">
        <v>70</v>
      </c>
      <c r="M15" s="305">
        <v>0</v>
      </c>
      <c r="N15" s="91" t="s">
        <v>1318</v>
      </c>
    </row>
    <row r="16" spans="1:14" ht="130.5">
      <c r="A16" s="259" t="s">
        <v>295</v>
      </c>
      <c r="B16" s="259" t="s">
        <v>294</v>
      </c>
      <c r="C16" s="44">
        <v>253</v>
      </c>
      <c r="D16" s="45"/>
      <c r="E16" s="258">
        <v>30</v>
      </c>
      <c r="F16" s="350">
        <f>SUM(G16:M16)</f>
        <v>30</v>
      </c>
      <c r="G16" s="304">
        <v>0</v>
      </c>
      <c r="H16" s="155"/>
      <c r="I16" s="304">
        <v>0</v>
      </c>
      <c r="J16" s="304">
        <v>0</v>
      </c>
      <c r="K16" s="304">
        <v>30</v>
      </c>
      <c r="L16" s="304">
        <v>0</v>
      </c>
      <c r="M16" s="305">
        <v>0</v>
      </c>
      <c r="N16" s="320" t="s">
        <v>887</v>
      </c>
    </row>
    <row r="17" spans="1:14" s="370" customFormat="1" ht="58">
      <c r="A17" s="544" t="s">
        <v>1320</v>
      </c>
      <c r="B17" s="530"/>
      <c r="C17" s="597">
        <v>253</v>
      </c>
      <c r="D17" s="262"/>
      <c r="E17" s="258">
        <v>180</v>
      </c>
      <c r="F17" s="350">
        <f>SUM(G17:M17)</f>
        <v>107</v>
      </c>
      <c r="G17" s="304">
        <v>0</v>
      </c>
      <c r="H17" s="363">
        <v>0</v>
      </c>
      <c r="I17" s="304">
        <v>0</v>
      </c>
      <c r="J17" s="304">
        <v>0</v>
      </c>
      <c r="K17" s="304">
        <v>107</v>
      </c>
      <c r="L17" s="304">
        <v>0</v>
      </c>
      <c r="M17" s="305">
        <v>0</v>
      </c>
      <c r="N17" s="98" t="s">
        <v>1570</v>
      </c>
    </row>
    <row r="18" spans="1:14" ht="29">
      <c r="A18" s="544" t="s">
        <v>1573</v>
      </c>
      <c r="B18" s="259"/>
      <c r="C18" s="44">
        <v>253</v>
      </c>
      <c r="D18" s="262"/>
      <c r="E18" s="258">
        <v>0</v>
      </c>
      <c r="F18" s="350">
        <f>SUM(G18:M18)</f>
        <v>205</v>
      </c>
      <c r="G18" s="304">
        <v>0</v>
      </c>
      <c r="H18" s="363">
        <v>0</v>
      </c>
      <c r="I18" s="304">
        <v>0</v>
      </c>
      <c r="J18" s="304">
        <v>0</v>
      </c>
      <c r="K18" s="304">
        <v>205</v>
      </c>
      <c r="L18" s="304">
        <v>0</v>
      </c>
      <c r="M18" s="305">
        <v>0</v>
      </c>
      <c r="N18" s="98" t="s">
        <v>1572</v>
      </c>
    </row>
    <row r="19" spans="1:14">
      <c r="A19" s="259" t="s">
        <v>221</v>
      </c>
      <c r="B19" s="259"/>
      <c r="C19" s="44">
        <v>253</v>
      </c>
      <c r="D19" s="262"/>
      <c r="E19" s="258">
        <v>0</v>
      </c>
      <c r="F19" s="350">
        <f>SUM(G19:M19)</f>
        <v>0</v>
      </c>
      <c r="G19" s="304">
        <v>0</v>
      </c>
      <c r="H19" s="363">
        <v>0</v>
      </c>
      <c r="I19" s="304">
        <v>0</v>
      </c>
      <c r="J19" s="304">
        <v>0</v>
      </c>
      <c r="K19" s="304">
        <v>0</v>
      </c>
      <c r="L19" s="304">
        <v>0</v>
      </c>
      <c r="M19" s="305">
        <v>0</v>
      </c>
      <c r="N19" s="320"/>
    </row>
    <row r="20" spans="1:14">
      <c r="A20" s="40" t="s">
        <v>225</v>
      </c>
      <c r="B20" s="260"/>
      <c r="C20" s="261"/>
      <c r="D20" s="262">
        <f>SUM(D15:D19)</f>
        <v>0</v>
      </c>
      <c r="E20" s="42">
        <f>SUM(E15:E19)</f>
        <v>280</v>
      </c>
      <c r="F20" s="43">
        <f t="shared" ref="F20:M20" si="2">SUM(F15:F19)</f>
        <v>412</v>
      </c>
      <c r="G20" s="43">
        <f t="shared" si="2"/>
        <v>0</v>
      </c>
      <c r="H20" s="43">
        <f t="shared" si="2"/>
        <v>0</v>
      </c>
      <c r="I20" s="43">
        <f t="shared" si="2"/>
        <v>0</v>
      </c>
      <c r="J20" s="43">
        <f t="shared" si="2"/>
        <v>0</v>
      </c>
      <c r="K20" s="43">
        <f t="shared" si="2"/>
        <v>342</v>
      </c>
      <c r="L20" s="43">
        <f t="shared" si="2"/>
        <v>70</v>
      </c>
      <c r="M20" s="43">
        <f t="shared" si="2"/>
        <v>0</v>
      </c>
      <c r="N20" s="348"/>
    </row>
    <row r="21" spans="1:14" s="7" customFormat="1">
      <c r="A21" s="125" t="s">
        <v>226</v>
      </c>
      <c r="B21" s="126"/>
      <c r="C21" s="127"/>
      <c r="D21" s="126"/>
      <c r="E21" s="126"/>
      <c r="F21" s="87"/>
      <c r="G21" s="87"/>
      <c r="H21" s="87"/>
      <c r="I21" s="87"/>
      <c r="J21" s="87"/>
      <c r="K21" s="87"/>
      <c r="L21" s="87"/>
      <c r="M21" s="87"/>
      <c r="N21" s="87"/>
    </row>
    <row r="22" spans="1:14" ht="15" customHeight="1">
      <c r="A22" s="259" t="s">
        <v>227</v>
      </c>
      <c r="B22" s="36"/>
      <c r="C22" s="37" t="s">
        <v>228</v>
      </c>
      <c r="D22" s="38">
        <v>0</v>
      </c>
      <c r="E22" s="258">
        <v>0</v>
      </c>
      <c r="F22" s="350">
        <f t="shared" ref="F22:F35" si="3">SUM(G22:M22)</f>
        <v>0</v>
      </c>
      <c r="G22" s="304">
        <v>0</v>
      </c>
      <c r="H22" s="304">
        <v>0</v>
      </c>
      <c r="I22" s="304">
        <v>0</v>
      </c>
      <c r="J22" s="304">
        <v>0</v>
      </c>
      <c r="K22" s="304">
        <v>0</v>
      </c>
      <c r="L22" s="304">
        <v>0</v>
      </c>
      <c r="M22" s="305">
        <v>0</v>
      </c>
      <c r="N22" s="348"/>
    </row>
    <row r="23" spans="1:14">
      <c r="A23" s="259" t="s">
        <v>229</v>
      </c>
      <c r="B23" s="36"/>
      <c r="C23" s="44" t="s">
        <v>230</v>
      </c>
      <c r="D23" s="45"/>
      <c r="E23" s="258">
        <v>0</v>
      </c>
      <c r="F23" s="350">
        <f t="shared" si="3"/>
        <v>0</v>
      </c>
      <c r="G23" s="304">
        <v>0</v>
      </c>
      <c r="H23" s="304">
        <v>0</v>
      </c>
      <c r="I23" s="304">
        <v>0</v>
      </c>
      <c r="J23" s="304">
        <v>0</v>
      </c>
      <c r="K23" s="304">
        <v>0</v>
      </c>
      <c r="L23" s="304">
        <v>0</v>
      </c>
      <c r="M23" s="305">
        <v>0</v>
      </c>
      <c r="N23" s="348"/>
    </row>
    <row r="24" spans="1:14">
      <c r="A24" s="259" t="s">
        <v>231</v>
      </c>
      <c r="B24" s="36"/>
      <c r="C24" s="44" t="s">
        <v>232</v>
      </c>
      <c r="D24" s="45"/>
      <c r="E24" s="258">
        <v>0</v>
      </c>
      <c r="F24" s="350">
        <f t="shared" si="3"/>
        <v>0</v>
      </c>
      <c r="G24" s="304">
        <v>0</v>
      </c>
      <c r="H24" s="304">
        <v>0</v>
      </c>
      <c r="I24" s="304">
        <v>0</v>
      </c>
      <c r="J24" s="304">
        <v>0</v>
      </c>
      <c r="K24" s="304">
        <v>0</v>
      </c>
      <c r="L24" s="304">
        <v>0</v>
      </c>
      <c r="M24" s="305">
        <v>0</v>
      </c>
      <c r="N24" s="318"/>
    </row>
    <row r="25" spans="1:14">
      <c r="A25" s="259" t="s">
        <v>233</v>
      </c>
      <c r="B25" s="36"/>
      <c r="C25" s="44" t="s">
        <v>234</v>
      </c>
      <c r="D25" s="45"/>
      <c r="E25" s="258">
        <v>0</v>
      </c>
      <c r="F25" s="350">
        <f t="shared" si="3"/>
        <v>0</v>
      </c>
      <c r="G25" s="304">
        <v>0</v>
      </c>
      <c r="H25" s="304">
        <v>0</v>
      </c>
      <c r="I25" s="304">
        <v>0</v>
      </c>
      <c r="J25" s="304">
        <v>0</v>
      </c>
      <c r="K25" s="304">
        <v>0</v>
      </c>
      <c r="L25" s="304">
        <v>0</v>
      </c>
      <c r="M25" s="305">
        <v>0</v>
      </c>
      <c r="N25" s="348"/>
    </row>
    <row r="26" spans="1:14">
      <c r="A26" s="259" t="s">
        <v>235</v>
      </c>
      <c r="B26" s="36"/>
      <c r="C26" s="44">
        <v>251</v>
      </c>
      <c r="D26" s="45"/>
      <c r="E26" s="258">
        <v>0</v>
      </c>
      <c r="F26" s="350">
        <f t="shared" si="3"/>
        <v>0</v>
      </c>
      <c r="G26" s="304">
        <v>0</v>
      </c>
      <c r="H26" s="304">
        <v>0</v>
      </c>
      <c r="I26" s="304">
        <v>0</v>
      </c>
      <c r="J26" s="304">
        <v>0</v>
      </c>
      <c r="K26" s="304">
        <v>0</v>
      </c>
      <c r="L26" s="304">
        <v>0</v>
      </c>
      <c r="M26" s="305">
        <v>0</v>
      </c>
      <c r="N26" s="348"/>
    </row>
    <row r="27" spans="1:14">
      <c r="A27" s="259" t="s">
        <v>242</v>
      </c>
      <c r="B27" s="36"/>
      <c r="C27" s="44">
        <v>252</v>
      </c>
      <c r="D27" s="45"/>
      <c r="E27" s="258">
        <v>0</v>
      </c>
      <c r="F27" s="350">
        <f t="shared" si="3"/>
        <v>0</v>
      </c>
      <c r="G27" s="304">
        <v>0</v>
      </c>
      <c r="H27" s="304">
        <v>0</v>
      </c>
      <c r="I27" s="304">
        <v>0</v>
      </c>
      <c r="J27" s="304">
        <v>0</v>
      </c>
      <c r="K27" s="304">
        <v>0</v>
      </c>
      <c r="L27" s="304">
        <v>0</v>
      </c>
      <c r="M27" s="305">
        <v>0</v>
      </c>
      <c r="N27" s="348"/>
    </row>
    <row r="28" spans="1:14">
      <c r="A28" s="259" t="s">
        <v>243</v>
      </c>
      <c r="B28" s="36"/>
      <c r="C28" s="44">
        <v>252</v>
      </c>
      <c r="D28" s="45"/>
      <c r="E28" s="258">
        <v>0</v>
      </c>
      <c r="F28" s="350">
        <f t="shared" si="3"/>
        <v>0</v>
      </c>
      <c r="G28" s="304">
        <v>0</v>
      </c>
      <c r="H28" s="304">
        <v>0</v>
      </c>
      <c r="I28" s="304">
        <v>0</v>
      </c>
      <c r="J28" s="304">
        <v>0</v>
      </c>
      <c r="K28" s="304">
        <v>0</v>
      </c>
      <c r="L28" s="304">
        <v>0</v>
      </c>
      <c r="M28" s="305">
        <v>0</v>
      </c>
      <c r="N28" s="348"/>
    </row>
    <row r="29" spans="1:14">
      <c r="A29" s="259" t="s">
        <v>244</v>
      </c>
      <c r="B29" s="36"/>
      <c r="C29" s="44">
        <v>253</v>
      </c>
      <c r="D29" s="259"/>
      <c r="E29" s="258">
        <v>0</v>
      </c>
      <c r="F29" s="350">
        <f t="shared" si="3"/>
        <v>0</v>
      </c>
      <c r="G29" s="304">
        <v>0</v>
      </c>
      <c r="H29" s="304">
        <v>0</v>
      </c>
      <c r="I29" s="304">
        <v>0</v>
      </c>
      <c r="J29" s="304">
        <v>0</v>
      </c>
      <c r="K29" s="304">
        <v>0</v>
      </c>
      <c r="L29" s="304">
        <v>0</v>
      </c>
      <c r="M29" s="305">
        <v>0</v>
      </c>
      <c r="N29" s="348"/>
    </row>
    <row r="30" spans="1:14">
      <c r="A30" s="259" t="s">
        <v>245</v>
      </c>
      <c r="B30" s="36"/>
      <c r="C30" s="44">
        <v>255</v>
      </c>
      <c r="D30" s="259"/>
      <c r="E30" s="258">
        <v>0</v>
      </c>
      <c r="F30" s="350">
        <f t="shared" si="3"/>
        <v>0</v>
      </c>
      <c r="G30" s="304">
        <v>0</v>
      </c>
      <c r="H30" s="304">
        <v>0</v>
      </c>
      <c r="I30" s="304">
        <v>0</v>
      </c>
      <c r="J30" s="304">
        <v>0</v>
      </c>
      <c r="K30" s="304">
        <v>0</v>
      </c>
      <c r="L30" s="304">
        <v>0</v>
      </c>
      <c r="M30" s="305">
        <v>0</v>
      </c>
      <c r="N30" s="348"/>
    </row>
    <row r="31" spans="1:14">
      <c r="A31" s="259" t="s">
        <v>246</v>
      </c>
      <c r="B31" s="36"/>
      <c r="C31" s="44">
        <v>256</v>
      </c>
      <c r="D31" s="259"/>
      <c r="E31" s="258">
        <v>0</v>
      </c>
      <c r="F31" s="350">
        <f t="shared" si="3"/>
        <v>0</v>
      </c>
      <c r="G31" s="304">
        <v>0</v>
      </c>
      <c r="H31" s="304">
        <v>0</v>
      </c>
      <c r="I31" s="304">
        <v>0</v>
      </c>
      <c r="J31" s="304">
        <v>0</v>
      </c>
      <c r="K31" s="304">
        <v>0</v>
      </c>
      <c r="L31" s="304">
        <v>0</v>
      </c>
      <c r="M31" s="305">
        <v>0</v>
      </c>
      <c r="N31" s="348"/>
    </row>
    <row r="32" spans="1:14">
      <c r="A32" s="259" t="s">
        <v>247</v>
      </c>
      <c r="B32" s="36"/>
      <c r="C32" s="44">
        <v>257</v>
      </c>
      <c r="D32" s="259"/>
      <c r="E32" s="258">
        <v>0</v>
      </c>
      <c r="F32" s="350">
        <f t="shared" si="3"/>
        <v>0</v>
      </c>
      <c r="G32" s="304">
        <v>0</v>
      </c>
      <c r="H32" s="304">
        <v>0</v>
      </c>
      <c r="I32" s="304">
        <v>0</v>
      </c>
      <c r="J32" s="304">
        <v>0</v>
      </c>
      <c r="K32" s="304">
        <v>0</v>
      </c>
      <c r="L32" s="304">
        <v>0</v>
      </c>
      <c r="M32" s="305">
        <v>0</v>
      </c>
      <c r="N32" s="348"/>
    </row>
    <row r="33" spans="1:14">
      <c r="A33" s="259" t="s">
        <v>248</v>
      </c>
      <c r="B33" s="36"/>
      <c r="C33" s="44" t="s">
        <v>249</v>
      </c>
      <c r="D33" s="259"/>
      <c r="E33" s="258">
        <v>0</v>
      </c>
      <c r="F33" s="350">
        <f t="shared" si="3"/>
        <v>0</v>
      </c>
      <c r="G33" s="304">
        <v>0</v>
      </c>
      <c r="H33" s="304">
        <v>0</v>
      </c>
      <c r="I33" s="304">
        <v>0</v>
      </c>
      <c r="J33" s="304">
        <v>0</v>
      </c>
      <c r="K33" s="304">
        <v>0</v>
      </c>
      <c r="L33" s="304">
        <v>0</v>
      </c>
      <c r="M33" s="305">
        <v>0</v>
      </c>
      <c r="N33" s="348"/>
    </row>
    <row r="34" spans="1:14" s="370" customFormat="1">
      <c r="A34" s="260" t="s">
        <v>250</v>
      </c>
      <c r="B34" s="36"/>
      <c r="C34" s="261" t="s">
        <v>251</v>
      </c>
      <c r="D34" s="260"/>
      <c r="E34" s="258">
        <v>0</v>
      </c>
      <c r="F34" s="350">
        <f t="shared" si="3"/>
        <v>0</v>
      </c>
      <c r="G34" s="304">
        <v>0</v>
      </c>
      <c r="H34" s="304">
        <v>0</v>
      </c>
      <c r="I34" s="304">
        <v>0</v>
      </c>
      <c r="J34" s="304">
        <v>0</v>
      </c>
      <c r="K34" s="304">
        <v>0</v>
      </c>
      <c r="L34" s="304">
        <v>0</v>
      </c>
      <c r="M34" s="305">
        <v>0</v>
      </c>
      <c r="N34" s="348"/>
    </row>
    <row r="35" spans="1:14">
      <c r="A35" s="601" t="s">
        <v>252</v>
      </c>
      <c r="B35" s="57"/>
      <c r="C35" s="621" t="s">
        <v>253</v>
      </c>
      <c r="D35" s="260"/>
      <c r="E35" s="258">
        <v>0</v>
      </c>
      <c r="F35" s="350">
        <f t="shared" si="3"/>
        <v>0</v>
      </c>
      <c r="G35" s="304">
        <v>0</v>
      </c>
      <c r="H35" s="304">
        <v>0</v>
      </c>
      <c r="I35" s="304">
        <v>0</v>
      </c>
      <c r="J35" s="304">
        <v>0</v>
      </c>
      <c r="K35" s="304">
        <f>280-485+205</f>
        <v>0</v>
      </c>
      <c r="L35" s="304">
        <v>0</v>
      </c>
      <c r="M35" s="305">
        <v>0</v>
      </c>
      <c r="N35" s="318" t="s">
        <v>951</v>
      </c>
    </row>
    <row r="36" spans="1:14">
      <c r="A36" s="40" t="s">
        <v>254</v>
      </c>
      <c r="B36" s="260"/>
      <c r="C36" s="261"/>
      <c r="D36" s="262"/>
      <c r="E36" s="42">
        <v>0</v>
      </c>
      <c r="F36" s="43">
        <f t="shared" ref="F36:M36" si="4">SUM(F22:F35)</f>
        <v>0</v>
      </c>
      <c r="G36" s="43">
        <f t="shared" si="4"/>
        <v>0</v>
      </c>
      <c r="H36" s="43">
        <f t="shared" si="4"/>
        <v>0</v>
      </c>
      <c r="I36" s="43">
        <f t="shared" si="4"/>
        <v>0</v>
      </c>
      <c r="J36" s="43">
        <f t="shared" si="4"/>
        <v>0</v>
      </c>
      <c r="K36" s="43">
        <f t="shared" si="4"/>
        <v>0</v>
      </c>
      <c r="L36" s="43">
        <f t="shared" si="4"/>
        <v>0</v>
      </c>
      <c r="M36" s="43">
        <f t="shared" si="4"/>
        <v>0</v>
      </c>
      <c r="N36" s="348"/>
    </row>
    <row r="37" spans="1:14" s="149" customFormat="1">
      <c r="A37" s="40" t="s">
        <v>255</v>
      </c>
      <c r="B37" s="51"/>
      <c r="C37" s="147"/>
      <c r="D37" s="262"/>
      <c r="E37" s="236">
        <v>0</v>
      </c>
      <c r="F37" s="235">
        <f>SUM(G37:L37)</f>
        <v>0</v>
      </c>
      <c r="G37" s="235"/>
      <c r="H37" s="235">
        <v>0</v>
      </c>
      <c r="I37" s="235"/>
      <c r="J37" s="235"/>
      <c r="K37" s="235"/>
      <c r="L37" s="235"/>
      <c r="M37" s="235"/>
      <c r="N37" s="318"/>
    </row>
    <row r="38" spans="1:14">
      <c r="A38" s="40" t="s">
        <v>256</v>
      </c>
      <c r="B38" s="46"/>
      <c r="C38" s="47"/>
      <c r="D38" s="48">
        <f>D36+D20+D13</f>
        <v>0</v>
      </c>
      <c r="E38" s="42">
        <f t="shared" ref="E38:M38" si="5">E36+E20+E13-E37</f>
        <v>280</v>
      </c>
      <c r="F38" s="17">
        <f t="shared" si="5"/>
        <v>412</v>
      </c>
      <c r="G38" s="17">
        <f t="shared" si="5"/>
        <v>0</v>
      </c>
      <c r="H38" s="17">
        <f t="shared" si="5"/>
        <v>0</v>
      </c>
      <c r="I38" s="17">
        <f t="shared" si="5"/>
        <v>0</v>
      </c>
      <c r="J38" s="17">
        <f t="shared" si="5"/>
        <v>0</v>
      </c>
      <c r="K38" s="17">
        <f t="shared" si="5"/>
        <v>342</v>
      </c>
      <c r="L38" s="17">
        <f t="shared" si="5"/>
        <v>70</v>
      </c>
      <c r="M38" s="17">
        <f t="shared" si="5"/>
        <v>0</v>
      </c>
      <c r="N38" s="346"/>
    </row>
    <row r="41" spans="1:14" s="370" customFormat="1" ht="15" thickBot="1">
      <c r="A41" s="31"/>
      <c r="B41" s="31"/>
      <c r="C41" s="32"/>
      <c r="D41" s="31"/>
      <c r="E41" s="31"/>
      <c r="F41" s="31"/>
      <c r="G41" s="31"/>
      <c r="H41" s="31"/>
      <c r="I41" s="31"/>
      <c r="J41" s="31"/>
      <c r="K41" s="31"/>
      <c r="L41" s="31"/>
      <c r="M41" s="31"/>
      <c r="N41" s="536"/>
    </row>
    <row r="42" spans="1:14" s="370" customFormat="1" ht="15.5">
      <c r="A42" s="873" t="s">
        <v>257</v>
      </c>
      <c r="B42" s="874"/>
      <c r="C42" s="874"/>
      <c r="D42" s="874"/>
      <c r="E42" s="874"/>
      <c r="F42" s="874"/>
      <c r="G42" s="550"/>
      <c r="H42" s="31"/>
      <c r="I42" s="31"/>
      <c r="J42" s="31"/>
      <c r="K42" s="31"/>
      <c r="L42" s="31"/>
      <c r="M42" s="31"/>
      <c r="N42" s="536"/>
    </row>
    <row r="43" spans="1:14" s="370" customFormat="1" ht="15.5">
      <c r="A43" s="875"/>
      <c r="B43" s="876"/>
      <c r="C43" s="876"/>
      <c r="D43" s="876"/>
      <c r="E43" s="876"/>
      <c r="F43" s="876"/>
      <c r="G43" s="551"/>
      <c r="H43" s="31"/>
      <c r="I43" s="31"/>
      <c r="J43" s="31"/>
      <c r="K43" s="31"/>
      <c r="L43" s="31"/>
      <c r="M43" s="31"/>
      <c r="N43" s="536"/>
    </row>
    <row r="44" spans="1:14" s="370" customFormat="1">
      <c r="A44" s="877" t="s">
        <v>258</v>
      </c>
      <c r="B44" s="878"/>
      <c r="C44" s="552"/>
      <c r="D44" s="552"/>
      <c r="E44" s="552"/>
      <c r="F44" s="552"/>
      <c r="G44" s="551"/>
      <c r="H44" s="31"/>
      <c r="I44" s="31"/>
      <c r="J44" s="31"/>
      <c r="K44" s="31"/>
      <c r="L44" s="31"/>
      <c r="M44" s="31"/>
      <c r="N44" s="536"/>
    </row>
    <row r="45" spans="1:14" s="370" customFormat="1">
      <c r="A45" s="553" t="s">
        <v>1028</v>
      </c>
      <c r="B45" s="554">
        <f>E38</f>
        <v>280</v>
      </c>
      <c r="C45" s="555"/>
      <c r="D45" s="556"/>
      <c r="E45" s="556"/>
      <c r="F45" s="556"/>
      <c r="G45" s="551"/>
      <c r="H45" s="31"/>
      <c r="I45" s="31"/>
      <c r="J45" s="31"/>
      <c r="K45" s="31"/>
      <c r="L45" s="31"/>
      <c r="M45" s="31"/>
      <c r="N45" s="536"/>
    </row>
    <row r="46" spans="1:14" s="370" customFormat="1">
      <c r="A46" s="557" t="s">
        <v>1029</v>
      </c>
      <c r="B46" s="558">
        <f>F38</f>
        <v>412</v>
      </c>
      <c r="C46" s="555"/>
      <c r="D46" s="556"/>
      <c r="E46" s="556"/>
      <c r="F46" s="556"/>
      <c r="G46" s="551"/>
      <c r="H46" s="31"/>
      <c r="I46" s="31"/>
      <c r="J46" s="31"/>
      <c r="K46" s="31"/>
      <c r="L46" s="31"/>
      <c r="M46" s="31"/>
      <c r="N46" s="536"/>
    </row>
    <row r="47" spans="1:14" s="370" customFormat="1">
      <c r="A47" s="559" t="s">
        <v>259</v>
      </c>
      <c r="B47" s="560">
        <f>B46-B45</f>
        <v>132</v>
      </c>
      <c r="C47" s="555"/>
      <c r="D47" s="556"/>
      <c r="E47" s="556"/>
      <c r="F47" s="556"/>
      <c r="G47" s="551"/>
      <c r="H47" s="31"/>
      <c r="I47" s="31"/>
      <c r="J47" s="31"/>
      <c r="K47" s="31"/>
      <c r="L47" s="31"/>
      <c r="M47" s="31"/>
      <c r="N47" s="536"/>
    </row>
    <row r="48" spans="1:14" s="370" customFormat="1">
      <c r="A48" s="559" t="s">
        <v>260</v>
      </c>
      <c r="B48" s="561">
        <f>B47/B45</f>
        <v>0.47142857142857142</v>
      </c>
      <c r="C48" s="555"/>
      <c r="D48" s="556"/>
      <c r="E48" s="556"/>
      <c r="F48" s="556"/>
      <c r="G48" s="551"/>
      <c r="H48" s="31"/>
      <c r="I48" s="31"/>
      <c r="J48" s="31"/>
      <c r="K48" s="31"/>
      <c r="L48" s="31"/>
      <c r="M48" s="31"/>
      <c r="N48" s="536"/>
    </row>
    <row r="49" spans="1:14" s="370" customFormat="1">
      <c r="A49" s="562"/>
      <c r="B49" s="556"/>
      <c r="C49" s="638"/>
      <c r="D49" s="556"/>
      <c r="E49" s="556"/>
      <c r="F49" s="556"/>
      <c r="G49" s="551"/>
      <c r="H49" s="31"/>
      <c r="I49" s="31"/>
      <c r="J49" s="31"/>
      <c r="K49" s="31"/>
      <c r="L49" s="31"/>
      <c r="M49" s="31"/>
      <c r="N49" s="536"/>
    </row>
    <row r="50" spans="1:14" s="370" customFormat="1">
      <c r="A50" s="879" t="s">
        <v>261</v>
      </c>
      <c r="B50" s="880"/>
      <c r="C50" s="880"/>
      <c r="D50" s="880"/>
      <c r="E50" s="880"/>
      <c r="F50" s="880"/>
      <c r="G50" s="551"/>
      <c r="H50" s="31"/>
      <c r="I50" s="31"/>
      <c r="J50" s="31"/>
      <c r="K50" s="31"/>
      <c r="L50" s="31"/>
      <c r="M50" s="31"/>
      <c r="N50" s="536"/>
    </row>
    <row r="51" spans="1:14" s="370" customFormat="1">
      <c r="A51" s="881" t="s">
        <v>1321</v>
      </c>
      <c r="B51" s="882"/>
      <c r="C51" s="882"/>
      <c r="D51" s="882"/>
      <c r="E51" s="882"/>
      <c r="F51" s="883"/>
      <c r="G51" s="551"/>
      <c r="H51" s="31"/>
      <c r="I51" s="31"/>
      <c r="J51" s="31"/>
      <c r="K51" s="31"/>
      <c r="L51" s="31"/>
      <c r="M51" s="31"/>
      <c r="N51" s="536"/>
    </row>
    <row r="52" spans="1:14" s="370" customFormat="1">
      <c r="A52" s="563"/>
      <c r="B52" s="564"/>
      <c r="C52" s="564"/>
      <c r="D52" s="564"/>
      <c r="E52" s="564"/>
      <c r="F52" s="564"/>
      <c r="G52" s="551"/>
      <c r="H52" s="31"/>
      <c r="I52" s="31"/>
      <c r="J52" s="31"/>
      <c r="K52" s="31"/>
      <c r="L52" s="31"/>
      <c r="M52" s="31"/>
      <c r="N52" s="536"/>
    </row>
    <row r="53" spans="1:14" s="370" customFormat="1">
      <c r="A53" s="565" t="s">
        <v>262</v>
      </c>
      <c r="B53" s="556"/>
      <c r="C53" s="638"/>
      <c r="D53" s="556"/>
      <c r="E53" s="556"/>
      <c r="F53" s="556"/>
      <c r="G53" s="551"/>
      <c r="H53" s="31"/>
      <c r="I53" s="31"/>
      <c r="J53" s="31"/>
      <c r="K53" s="31"/>
      <c r="L53" s="31"/>
      <c r="M53" s="31"/>
      <c r="N53" s="536"/>
    </row>
    <row r="54" spans="1:14" s="370" customFormat="1">
      <c r="A54" s="884"/>
      <c r="B54" s="885"/>
      <c r="C54" s="885"/>
      <c r="D54" s="885"/>
      <c r="E54" s="885"/>
      <c r="F54" s="886"/>
      <c r="G54" s="551"/>
      <c r="H54" s="31"/>
      <c r="I54" s="31"/>
      <c r="J54" s="31"/>
      <c r="K54" s="31"/>
      <c r="L54" s="31"/>
      <c r="M54" s="31"/>
      <c r="N54" s="536"/>
    </row>
    <row r="55" spans="1:14" s="370" customFormat="1">
      <c r="A55" s="562"/>
      <c r="B55" s="556"/>
      <c r="C55" s="638"/>
      <c r="D55" s="556"/>
      <c r="E55" s="556"/>
      <c r="F55" s="556"/>
      <c r="G55" s="551"/>
      <c r="H55" s="31"/>
      <c r="I55" s="31"/>
      <c r="J55" s="31"/>
      <c r="K55" s="31"/>
      <c r="L55" s="31"/>
      <c r="M55" s="31"/>
      <c r="N55" s="536"/>
    </row>
    <row r="56" spans="1:14" s="370" customFormat="1">
      <c r="A56" s="879" t="s">
        <v>1020</v>
      </c>
      <c r="B56" s="880"/>
      <c r="C56" s="880"/>
      <c r="D56" s="880"/>
      <c r="E56" s="880"/>
      <c r="F56" s="880"/>
      <c r="G56" s="551"/>
      <c r="H56" s="31"/>
      <c r="I56" s="31"/>
      <c r="J56" s="31"/>
      <c r="K56" s="31"/>
      <c r="L56" s="31"/>
      <c r="M56" s="31"/>
      <c r="N56" s="536"/>
    </row>
    <row r="57" spans="1:14" s="370" customFormat="1">
      <c r="A57" s="906" t="s">
        <v>1021</v>
      </c>
      <c r="B57" s="907"/>
      <c r="C57" s="907"/>
      <c r="D57" s="907"/>
      <c r="E57" s="907"/>
      <c r="F57" s="907"/>
      <c r="G57" s="551"/>
      <c r="H57" s="31"/>
      <c r="I57" s="31"/>
      <c r="J57" s="31"/>
      <c r="K57" s="31"/>
      <c r="L57" s="31"/>
      <c r="M57" s="31"/>
      <c r="N57" s="536"/>
    </row>
    <row r="58" spans="1:14" s="370" customFormat="1" ht="51.5" customHeight="1">
      <c r="A58" s="881" t="s">
        <v>1322</v>
      </c>
      <c r="B58" s="882"/>
      <c r="C58" s="882"/>
      <c r="D58" s="882"/>
      <c r="E58" s="882"/>
      <c r="F58" s="883"/>
      <c r="G58" s="551"/>
      <c r="H58" s="31"/>
      <c r="I58" s="31"/>
      <c r="J58" s="31"/>
      <c r="K58" s="31"/>
      <c r="L58" s="31"/>
      <c r="M58" s="31"/>
      <c r="N58" s="536"/>
    </row>
    <row r="59" spans="1:14" s="370" customFormat="1">
      <c r="A59" s="565"/>
      <c r="B59" s="556"/>
      <c r="C59" s="638"/>
      <c r="D59" s="556"/>
      <c r="E59" s="556"/>
      <c r="F59" s="556"/>
      <c r="G59" s="551"/>
      <c r="H59" s="31"/>
      <c r="I59" s="31"/>
      <c r="J59" s="31"/>
      <c r="K59" s="31"/>
      <c r="L59" s="31"/>
      <c r="M59" s="31"/>
      <c r="N59" s="536"/>
    </row>
    <row r="60" spans="1:14" s="370" customFormat="1">
      <c r="A60" s="879" t="s">
        <v>264</v>
      </c>
      <c r="B60" s="880"/>
      <c r="C60" s="880"/>
      <c r="D60" s="880"/>
      <c r="E60" s="880"/>
      <c r="F60" s="556"/>
      <c r="G60" s="551"/>
      <c r="H60" s="31"/>
      <c r="I60" s="31"/>
      <c r="J60" s="31"/>
      <c r="K60" s="31"/>
      <c r="L60" s="31"/>
      <c r="M60" s="31"/>
      <c r="N60" s="536"/>
    </row>
    <row r="61" spans="1:14" s="370" customFormat="1">
      <c r="A61" s="889"/>
      <c r="B61" s="890"/>
      <c r="C61" s="890"/>
      <c r="D61" s="890"/>
      <c r="E61" s="890"/>
      <c r="F61" s="891"/>
      <c r="G61" s="551"/>
      <c r="H61" s="31"/>
      <c r="I61" s="31"/>
      <c r="J61" s="31"/>
      <c r="K61" s="31"/>
      <c r="L61" s="31"/>
      <c r="M61" s="31"/>
      <c r="N61" s="536"/>
    </row>
    <row r="62" spans="1:14" s="370" customFormat="1">
      <c r="A62" s="562"/>
      <c r="B62" s="556"/>
      <c r="C62" s="638"/>
      <c r="D62" s="556"/>
      <c r="E62" s="556"/>
      <c r="F62" s="556"/>
      <c r="G62" s="551"/>
      <c r="H62" s="31"/>
      <c r="I62" s="31"/>
      <c r="J62" s="31"/>
      <c r="K62" s="31"/>
      <c r="L62" s="31"/>
      <c r="M62" s="31"/>
      <c r="N62" s="536"/>
    </row>
    <row r="63" spans="1:14" s="370" customFormat="1">
      <c r="A63" s="565" t="s">
        <v>265</v>
      </c>
      <c r="B63" s="556"/>
      <c r="C63" s="638"/>
      <c r="D63" s="556"/>
      <c r="E63" s="556"/>
      <c r="F63" s="556"/>
      <c r="G63" s="551"/>
      <c r="H63" s="31"/>
      <c r="I63" s="31"/>
      <c r="J63" s="31"/>
      <c r="K63" s="31"/>
      <c r="L63" s="31"/>
      <c r="M63" s="31"/>
      <c r="N63" s="536"/>
    </row>
    <row r="64" spans="1:14" s="370" customFormat="1">
      <c r="A64" s="566" t="s">
        <v>266</v>
      </c>
      <c r="B64" s="556"/>
      <c r="C64" s="638"/>
      <c r="D64" s="556"/>
      <c r="E64" s="556"/>
      <c r="F64" s="556"/>
      <c r="G64" s="551"/>
      <c r="H64" s="31"/>
      <c r="I64" s="31"/>
      <c r="J64" s="31"/>
      <c r="K64" s="31"/>
      <c r="L64" s="31"/>
      <c r="M64" s="31"/>
      <c r="N64" s="536"/>
    </row>
    <row r="65" spans="1:14" s="370" customFormat="1" ht="26.25" customHeight="1">
      <c r="A65" s="892" t="s">
        <v>1030</v>
      </c>
      <c r="B65" s="893"/>
      <c r="C65" s="893"/>
      <c r="D65" s="893"/>
      <c r="E65" s="893"/>
      <c r="F65" s="893"/>
      <c r="G65" s="551"/>
      <c r="H65" s="31"/>
      <c r="I65" s="31"/>
      <c r="J65" s="31"/>
      <c r="K65" s="31"/>
      <c r="L65" s="31"/>
      <c r="M65" s="31"/>
      <c r="N65" s="536"/>
    </row>
    <row r="66" spans="1:14" s="370" customFormat="1">
      <c r="A66" s="903"/>
      <c r="B66" s="904"/>
      <c r="C66" s="904"/>
      <c r="D66" s="904"/>
      <c r="E66" s="904"/>
      <c r="F66" s="905"/>
      <c r="G66" s="551"/>
      <c r="H66" s="31"/>
      <c r="I66" s="31"/>
      <c r="J66" s="31"/>
      <c r="K66" s="31"/>
      <c r="L66" s="31"/>
      <c r="M66" s="31"/>
      <c r="N66" s="536"/>
    </row>
    <row r="67" spans="1:14" s="370" customFormat="1">
      <c r="A67" s="894"/>
      <c r="B67" s="895"/>
      <c r="C67" s="895"/>
      <c r="D67" s="895"/>
      <c r="E67" s="895"/>
      <c r="F67" s="895"/>
      <c r="G67" s="551"/>
      <c r="H67" s="31"/>
      <c r="I67" s="31"/>
      <c r="J67" s="31"/>
      <c r="K67" s="31"/>
      <c r="L67" s="31"/>
      <c r="M67" s="31"/>
      <c r="N67" s="536"/>
    </row>
    <row r="68" spans="1:14" s="370" customFormat="1">
      <c r="A68" s="566" t="s">
        <v>268</v>
      </c>
      <c r="B68" s="556"/>
      <c r="C68" s="638"/>
      <c r="D68" s="556"/>
      <c r="E68" s="556"/>
      <c r="F68" s="556"/>
      <c r="G68" s="551"/>
      <c r="H68" s="31"/>
      <c r="I68" s="31"/>
      <c r="J68" s="31"/>
      <c r="K68" s="31"/>
      <c r="L68" s="31"/>
      <c r="M68" s="31"/>
      <c r="N68" s="536"/>
    </row>
    <row r="69" spans="1:14" s="370" customFormat="1" ht="28.75" customHeight="1">
      <c r="A69" s="896" t="s">
        <v>269</v>
      </c>
      <c r="B69" s="897"/>
      <c r="C69" s="897"/>
      <c r="D69" s="897"/>
      <c r="E69" s="897"/>
      <c r="F69" s="897"/>
      <c r="G69" s="551"/>
      <c r="H69" s="31"/>
      <c r="I69" s="31"/>
      <c r="J69" s="31"/>
      <c r="K69" s="31"/>
      <c r="L69" s="31"/>
      <c r="M69" s="31"/>
      <c r="N69" s="536"/>
    </row>
    <row r="70" spans="1:14" s="370" customFormat="1" ht="45" customHeight="1">
      <c r="A70" s="900" t="s">
        <v>1323</v>
      </c>
      <c r="B70" s="901"/>
      <c r="C70" s="901"/>
      <c r="D70" s="901"/>
      <c r="E70" s="901"/>
      <c r="F70" s="902"/>
      <c r="G70" s="551"/>
      <c r="H70" s="31"/>
      <c r="I70" s="31"/>
      <c r="J70" s="31"/>
      <c r="K70" s="31"/>
      <c r="L70" s="31"/>
      <c r="M70" s="31"/>
      <c r="N70" s="536"/>
    </row>
    <row r="71" spans="1:14" s="370" customFormat="1" ht="15" thickBot="1">
      <c r="A71" s="567"/>
      <c r="B71" s="568"/>
      <c r="C71" s="569"/>
      <c r="D71" s="568"/>
      <c r="E71" s="568"/>
      <c r="F71" s="568"/>
      <c r="G71" s="570"/>
      <c r="H71" s="31"/>
      <c r="I71" s="31"/>
      <c r="J71" s="31"/>
      <c r="K71" s="31"/>
      <c r="L71" s="31"/>
      <c r="M71" s="31"/>
      <c r="N71" s="536"/>
    </row>
    <row r="72" spans="1:14" s="370" customFormat="1">
      <c r="A72" s="31"/>
      <c r="B72" s="31"/>
      <c r="C72" s="32"/>
      <c r="D72" s="31"/>
      <c r="E72" s="31"/>
      <c r="F72" s="31"/>
      <c r="G72" s="31"/>
      <c r="H72" s="31"/>
      <c r="I72" s="31"/>
      <c r="J72" s="31"/>
      <c r="K72" s="31"/>
      <c r="L72" s="31"/>
      <c r="M72" s="31"/>
      <c r="N72" s="536"/>
    </row>
  </sheetData>
  <mergeCells count="17">
    <mergeCell ref="A69:F69"/>
    <mergeCell ref="A70:F70"/>
    <mergeCell ref="A60:E60"/>
    <mergeCell ref="A61:F61"/>
    <mergeCell ref="A65:F65"/>
    <mergeCell ref="A66:F66"/>
    <mergeCell ref="A67:F67"/>
    <mergeCell ref="A51:F51"/>
    <mergeCell ref="A54:F54"/>
    <mergeCell ref="A56:F56"/>
    <mergeCell ref="A57:F57"/>
    <mergeCell ref="A58:F58"/>
    <mergeCell ref="A1:N1"/>
    <mergeCell ref="A42:F42"/>
    <mergeCell ref="A43:F43"/>
    <mergeCell ref="A44:B44"/>
    <mergeCell ref="A50:F50"/>
  </mergeCells>
  <printOptions horizontalCentered="1"/>
  <pageMargins left="0.2" right="0.2" top="0.75" bottom="0.75" header="0.3" footer="0.3"/>
  <pageSetup scale="68" fitToHeight="0" orientation="landscape" r:id="rId1"/>
  <headerFooter>
    <oddHeader xml:space="preserve">&amp;CDRAFT NOT FOR DISTRIBUTION, INTERNAL USE ONLY
</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O178"/>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32.54296875" customWidth="1"/>
  </cols>
  <sheetData>
    <row r="1" spans="1:14" ht="15.5">
      <c r="A1" s="854" t="s">
        <v>270</v>
      </c>
      <c r="B1" s="854"/>
      <c r="C1" s="854"/>
      <c r="D1" s="854"/>
      <c r="E1" s="854"/>
      <c r="F1" s="854"/>
      <c r="G1" s="854"/>
      <c r="H1" s="854"/>
      <c r="I1" s="854"/>
      <c r="J1" s="854"/>
      <c r="K1" s="854"/>
      <c r="L1" s="854"/>
      <c r="M1" s="854"/>
      <c r="N1" s="854"/>
    </row>
    <row r="2" spans="1:14">
      <c r="A2" s="702" t="s">
        <v>878</v>
      </c>
      <c r="B2" s="370"/>
      <c r="C2" s="639"/>
      <c r="D2" s="370"/>
      <c r="E2" s="370"/>
      <c r="F2" s="370"/>
      <c r="G2" s="370"/>
      <c r="H2" s="370"/>
      <c r="I2" s="370"/>
      <c r="J2" s="370"/>
      <c r="K2" s="370"/>
      <c r="L2" s="370"/>
      <c r="M2" s="370"/>
      <c r="N2" s="370"/>
    </row>
    <row r="3" spans="1:14">
      <c r="A3" s="506" t="s">
        <v>879</v>
      </c>
      <c r="B3" s="370"/>
      <c r="C3" s="639"/>
      <c r="D3" s="370"/>
      <c r="E3" s="370"/>
      <c r="F3" s="451" t="s">
        <v>210</v>
      </c>
      <c r="G3" s="370"/>
      <c r="H3" s="370"/>
      <c r="I3" s="370"/>
      <c r="J3" s="370"/>
      <c r="K3" s="370"/>
      <c r="L3" s="370"/>
      <c r="M3" s="370"/>
      <c r="N3" s="370"/>
    </row>
    <row r="4" spans="1:14">
      <c r="A4" s="506" t="s">
        <v>304</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305</v>
      </c>
      <c r="B7" s="36" t="s">
        <v>306</v>
      </c>
      <c r="C7" s="37" t="s">
        <v>218</v>
      </c>
      <c r="D7" s="38">
        <v>1</v>
      </c>
      <c r="E7" s="258">
        <v>180</v>
      </c>
      <c r="F7" s="303">
        <f t="shared" ref="F7:F15" si="0">SUM(G7:M7)</f>
        <v>180</v>
      </c>
      <c r="G7" s="304">
        <v>0</v>
      </c>
      <c r="H7" s="304">
        <v>0</v>
      </c>
      <c r="I7" s="304">
        <v>0</v>
      </c>
      <c r="J7" s="304">
        <v>180</v>
      </c>
      <c r="K7" s="304">
        <v>0</v>
      </c>
      <c r="L7" s="304">
        <v>0</v>
      </c>
      <c r="M7" s="305">
        <v>0</v>
      </c>
      <c r="N7" s="318"/>
    </row>
    <row r="8" spans="1:14" ht="15" customHeight="1">
      <c r="A8" s="36" t="s">
        <v>217</v>
      </c>
      <c r="B8" s="36"/>
      <c r="C8" s="37" t="s">
        <v>218</v>
      </c>
      <c r="D8" s="39"/>
      <c r="E8" s="258">
        <v>0</v>
      </c>
      <c r="F8" s="303">
        <f t="shared" si="0"/>
        <v>0</v>
      </c>
      <c r="G8" s="304">
        <v>0</v>
      </c>
      <c r="H8" s="304">
        <v>0</v>
      </c>
      <c r="I8" s="304">
        <v>0</v>
      </c>
      <c r="J8" s="304"/>
      <c r="K8" s="304">
        <v>0</v>
      </c>
      <c r="L8" s="304">
        <v>0</v>
      </c>
      <c r="M8" s="305">
        <v>0</v>
      </c>
      <c r="N8" s="348"/>
    </row>
    <row r="9" spans="1:14" ht="15" customHeight="1">
      <c r="A9" s="36" t="s">
        <v>307</v>
      </c>
      <c r="B9" s="259" t="s">
        <v>308</v>
      </c>
      <c r="C9" s="37" t="s">
        <v>218</v>
      </c>
      <c r="D9" s="39">
        <v>1</v>
      </c>
      <c r="E9" s="258">
        <v>180</v>
      </c>
      <c r="F9" s="303">
        <f t="shared" si="0"/>
        <v>180</v>
      </c>
      <c r="G9" s="304">
        <v>0</v>
      </c>
      <c r="H9" s="304">
        <v>0</v>
      </c>
      <c r="I9" s="304">
        <v>0</v>
      </c>
      <c r="J9" s="304">
        <v>180</v>
      </c>
      <c r="K9" s="304">
        <v>0</v>
      </c>
      <c r="L9" s="304">
        <v>0</v>
      </c>
      <c r="M9" s="305">
        <v>0</v>
      </c>
      <c r="N9" s="92"/>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s="370" customFormat="1" ht="58">
      <c r="A11" s="57" t="s">
        <v>1121</v>
      </c>
      <c r="B11" s="601" t="s">
        <v>398</v>
      </c>
      <c r="C11" s="607" t="s">
        <v>218</v>
      </c>
      <c r="D11" s="39">
        <v>1</v>
      </c>
      <c r="E11" s="258">
        <v>0</v>
      </c>
      <c r="F11" s="303">
        <v>150</v>
      </c>
      <c r="G11" s="304">
        <v>0</v>
      </c>
      <c r="H11" s="304">
        <v>0</v>
      </c>
      <c r="I11" s="304">
        <v>0</v>
      </c>
      <c r="J11" s="304">
        <v>150</v>
      </c>
      <c r="K11" s="304">
        <v>0</v>
      </c>
      <c r="L11" s="304">
        <v>0</v>
      </c>
      <c r="M11" s="305">
        <v>0</v>
      </c>
      <c r="N11" s="318" t="s">
        <v>1122</v>
      </c>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3</v>
      </c>
      <c r="E16" s="43">
        <f t="shared" si="1"/>
        <v>360</v>
      </c>
      <c r="F16" s="43">
        <f t="shared" si="1"/>
        <v>510</v>
      </c>
      <c r="G16" s="43">
        <f t="shared" si="1"/>
        <v>0</v>
      </c>
      <c r="H16" s="43">
        <f t="shared" si="1"/>
        <v>0</v>
      </c>
      <c r="I16" s="43">
        <f t="shared" si="1"/>
        <v>0</v>
      </c>
      <c r="J16" s="43">
        <f t="shared" si="1"/>
        <v>510</v>
      </c>
      <c r="K16" s="43">
        <f t="shared" si="1"/>
        <v>0</v>
      </c>
      <c r="L16" s="43">
        <f t="shared" si="1"/>
        <v>0</v>
      </c>
      <c r="M16" s="43">
        <f t="shared" si="1"/>
        <v>0</v>
      </c>
      <c r="N16" s="348"/>
    </row>
    <row r="17" spans="1:15">
      <c r="A17" s="67" t="s">
        <v>220</v>
      </c>
      <c r="B17" s="68"/>
      <c r="C17" s="69"/>
      <c r="D17" s="68"/>
      <c r="E17" s="68"/>
      <c r="F17" s="70"/>
      <c r="G17" s="70"/>
      <c r="H17" s="70"/>
      <c r="I17" s="70"/>
      <c r="J17" s="70"/>
      <c r="K17" s="70"/>
      <c r="L17" s="70"/>
      <c r="M17" s="70"/>
      <c r="N17" s="70"/>
    </row>
    <row r="18" spans="1:15" s="279" customFormat="1">
      <c r="A18" s="259" t="s">
        <v>278</v>
      </c>
      <c r="B18" s="93"/>
      <c r="C18" s="44">
        <v>253</v>
      </c>
      <c r="D18" s="262"/>
      <c r="E18" s="258">
        <v>0</v>
      </c>
      <c r="F18" s="303">
        <f>SUM(G18:M18)</f>
        <v>0</v>
      </c>
      <c r="G18" s="304">
        <v>0</v>
      </c>
      <c r="H18" s="304">
        <v>0</v>
      </c>
      <c r="I18" s="304">
        <v>0</v>
      </c>
      <c r="J18" s="304">
        <v>0</v>
      </c>
      <c r="K18" s="304">
        <v>0</v>
      </c>
      <c r="L18" s="304">
        <v>0</v>
      </c>
      <c r="M18" s="305">
        <v>0</v>
      </c>
      <c r="N18" s="649"/>
    </row>
    <row r="19" spans="1:15">
      <c r="A19" s="259" t="s">
        <v>278</v>
      </c>
      <c r="B19" s="259"/>
      <c r="C19" s="44">
        <v>253</v>
      </c>
      <c r="D19" s="45"/>
      <c r="E19" s="258">
        <v>0</v>
      </c>
      <c r="F19" s="303">
        <f>SUM(G19:M19)</f>
        <v>0</v>
      </c>
      <c r="G19" s="304">
        <v>0</v>
      </c>
      <c r="H19" s="304">
        <v>0</v>
      </c>
      <c r="I19" s="304">
        <v>0</v>
      </c>
      <c r="J19" s="304">
        <v>0</v>
      </c>
      <c r="K19" s="304">
        <v>0</v>
      </c>
      <c r="L19" s="304">
        <v>0</v>
      </c>
      <c r="M19" s="305">
        <v>0</v>
      </c>
      <c r="N19" s="319"/>
    </row>
    <row r="20" spans="1:15" s="279" customFormat="1">
      <c r="A20" s="259" t="s">
        <v>278</v>
      </c>
      <c r="B20" s="299"/>
      <c r="C20" s="44">
        <v>253</v>
      </c>
      <c r="D20" s="262"/>
      <c r="E20" s="258">
        <v>0</v>
      </c>
      <c r="F20" s="303">
        <f>SUM(G20:M20)</f>
        <v>0</v>
      </c>
      <c r="G20" s="304">
        <v>0</v>
      </c>
      <c r="H20" s="304">
        <v>0</v>
      </c>
      <c r="I20" s="304">
        <v>0</v>
      </c>
      <c r="J20" s="304">
        <v>0</v>
      </c>
      <c r="K20" s="304">
        <v>0</v>
      </c>
      <c r="L20" s="304">
        <v>0</v>
      </c>
      <c r="M20" s="305">
        <v>0</v>
      </c>
      <c r="N20" s="300"/>
    </row>
    <row r="21" spans="1:15" s="7" customFormat="1">
      <c r="A21" s="259" t="s">
        <v>309</v>
      </c>
      <c r="B21" s="259"/>
      <c r="C21" s="44">
        <v>253</v>
      </c>
      <c r="D21" s="262"/>
      <c r="E21" s="258">
        <v>0</v>
      </c>
      <c r="F21" s="303">
        <f>SUM(G21:M21)</f>
        <v>0</v>
      </c>
      <c r="G21" s="304">
        <v>0</v>
      </c>
      <c r="H21" s="304">
        <v>0</v>
      </c>
      <c r="I21" s="304">
        <v>0</v>
      </c>
      <c r="J21" s="304">
        <v>0</v>
      </c>
      <c r="K21" s="304">
        <v>0</v>
      </c>
      <c r="L21" s="304">
        <v>0</v>
      </c>
      <c r="M21" s="305">
        <v>0</v>
      </c>
      <c r="N21" s="319"/>
    </row>
    <row r="22" spans="1:15">
      <c r="A22" s="40" t="s">
        <v>225</v>
      </c>
      <c r="B22" s="260"/>
      <c r="C22" s="261"/>
      <c r="D22" s="262">
        <f>SUM(D19:D21)</f>
        <v>0</v>
      </c>
      <c r="E22" s="43">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92"/>
    </row>
    <row r="23" spans="1:15" s="7" customFormat="1">
      <c r="A23" s="125" t="s">
        <v>226</v>
      </c>
      <c r="B23" s="126"/>
      <c r="C23" s="126"/>
      <c r="D23" s="126"/>
      <c r="E23" s="87"/>
      <c r="F23" s="87"/>
      <c r="G23" s="87"/>
      <c r="H23" s="87"/>
      <c r="I23" s="87"/>
      <c r="J23" s="87"/>
      <c r="K23" s="87"/>
      <c r="L23" s="87"/>
      <c r="M23" s="87"/>
      <c r="N23" s="128"/>
    </row>
    <row r="24" spans="1:15" s="370" customFormat="1">
      <c r="A24" s="530" t="s">
        <v>227</v>
      </c>
      <c r="B24" s="57"/>
      <c r="C24" s="607" t="s">
        <v>228</v>
      </c>
      <c r="D24" s="38">
        <v>0</v>
      </c>
      <c r="E24" s="258">
        <v>20</v>
      </c>
      <c r="F24" s="303">
        <f t="shared" ref="F24" si="3">SUM(G24:M24)</f>
        <v>25</v>
      </c>
      <c r="G24" s="304">
        <v>0</v>
      </c>
      <c r="H24" s="304">
        <v>0</v>
      </c>
      <c r="I24" s="304">
        <v>0</v>
      </c>
      <c r="J24" s="304">
        <v>25</v>
      </c>
      <c r="K24" s="304">
        <v>0</v>
      </c>
      <c r="L24" s="304">
        <v>0</v>
      </c>
      <c r="M24" s="305">
        <v>0</v>
      </c>
      <c r="N24" s="318" t="s">
        <v>310</v>
      </c>
    </row>
    <row r="25" spans="1:15" s="370" customFormat="1">
      <c r="A25" s="259" t="s">
        <v>227</v>
      </c>
      <c r="B25" s="36"/>
      <c r="C25" s="37" t="s">
        <v>228</v>
      </c>
      <c r="D25" s="38"/>
      <c r="E25" s="258">
        <v>0</v>
      </c>
      <c r="F25" s="303">
        <f t="shared" ref="F25:F38" si="4">SUM(G25:M25)</f>
        <v>0</v>
      </c>
      <c r="G25" s="304">
        <v>0</v>
      </c>
      <c r="H25" s="304">
        <v>0</v>
      </c>
      <c r="I25" s="304">
        <v>0</v>
      </c>
      <c r="J25" s="304">
        <v>0</v>
      </c>
      <c r="K25" s="304">
        <v>0</v>
      </c>
      <c r="L25" s="304">
        <v>0</v>
      </c>
      <c r="M25" s="305">
        <v>0</v>
      </c>
      <c r="N25" s="318"/>
    </row>
    <row r="26" spans="1:15">
      <c r="A26" s="259" t="s">
        <v>229</v>
      </c>
      <c r="B26" s="36"/>
      <c r="C26" s="44" t="s">
        <v>230</v>
      </c>
      <c r="D26" s="45"/>
      <c r="E26" s="258">
        <v>0</v>
      </c>
      <c r="F26" s="303">
        <f t="shared" si="4"/>
        <v>0</v>
      </c>
      <c r="G26" s="304">
        <v>0</v>
      </c>
      <c r="H26" s="304">
        <v>0</v>
      </c>
      <c r="I26" s="304">
        <v>0</v>
      </c>
      <c r="J26" s="304">
        <v>0</v>
      </c>
      <c r="K26" s="304">
        <v>0</v>
      </c>
      <c r="L26" s="304">
        <v>0</v>
      </c>
      <c r="M26" s="305">
        <v>0</v>
      </c>
      <c r="N26" s="348"/>
    </row>
    <row r="27" spans="1:15">
      <c r="A27" s="259" t="s">
        <v>231</v>
      </c>
      <c r="B27" s="36"/>
      <c r="C27" s="44" t="s">
        <v>232</v>
      </c>
      <c r="D27" s="45"/>
      <c r="E27" s="258">
        <v>0</v>
      </c>
      <c r="F27" s="303">
        <f t="shared" si="4"/>
        <v>0</v>
      </c>
      <c r="G27" s="304">
        <v>0</v>
      </c>
      <c r="H27" s="304">
        <v>0</v>
      </c>
      <c r="I27" s="304">
        <v>0</v>
      </c>
      <c r="J27" s="304">
        <v>0</v>
      </c>
      <c r="K27" s="304">
        <v>0</v>
      </c>
      <c r="L27" s="304">
        <v>0</v>
      </c>
      <c r="M27" s="305">
        <v>0</v>
      </c>
      <c r="N27" s="348"/>
    </row>
    <row r="28" spans="1:15">
      <c r="A28" s="259" t="s">
        <v>233</v>
      </c>
      <c r="B28" s="36"/>
      <c r="C28" s="44" t="s">
        <v>234</v>
      </c>
      <c r="D28" s="45"/>
      <c r="E28" s="258">
        <v>0</v>
      </c>
      <c r="F28" s="303">
        <f t="shared" si="4"/>
        <v>10</v>
      </c>
      <c r="G28" s="304">
        <v>0</v>
      </c>
      <c r="H28" s="304">
        <v>0</v>
      </c>
      <c r="I28" s="304">
        <v>0</v>
      </c>
      <c r="J28" s="304">
        <v>10</v>
      </c>
      <c r="K28" s="304">
        <v>0</v>
      </c>
      <c r="L28" s="304">
        <v>0</v>
      </c>
      <c r="M28" s="305">
        <v>0</v>
      </c>
      <c r="N28" s="348"/>
    </row>
    <row r="29" spans="1:15">
      <c r="A29" s="259" t="s">
        <v>235</v>
      </c>
      <c r="B29" s="36"/>
      <c r="C29" s="44">
        <v>251</v>
      </c>
      <c r="D29" s="45"/>
      <c r="E29" s="258">
        <v>25</v>
      </c>
      <c r="F29" s="303">
        <f t="shared" si="4"/>
        <v>75</v>
      </c>
      <c r="G29" s="304">
        <v>0</v>
      </c>
      <c r="H29" s="304">
        <v>0</v>
      </c>
      <c r="I29" s="304">
        <v>0</v>
      </c>
      <c r="J29" s="304">
        <v>75</v>
      </c>
      <c r="K29" s="304">
        <v>0</v>
      </c>
      <c r="L29" s="304">
        <v>0</v>
      </c>
      <c r="M29" s="305">
        <v>0</v>
      </c>
      <c r="N29" s="318" t="s">
        <v>1123</v>
      </c>
      <c r="O29" s="534"/>
    </row>
    <row r="30" spans="1:15" ht="29">
      <c r="A30" s="259" t="s">
        <v>242</v>
      </c>
      <c r="B30" s="36"/>
      <c r="C30" s="44">
        <v>252</v>
      </c>
      <c r="D30" s="45"/>
      <c r="E30" s="258">
        <v>100</v>
      </c>
      <c r="F30" s="303">
        <f t="shared" si="4"/>
        <v>0</v>
      </c>
      <c r="G30" s="304">
        <v>0</v>
      </c>
      <c r="H30" s="304">
        <v>0</v>
      </c>
      <c r="I30" s="304">
        <v>0</v>
      </c>
      <c r="J30" s="304">
        <v>0</v>
      </c>
      <c r="K30" s="304">
        <v>0</v>
      </c>
      <c r="L30" s="304">
        <v>0</v>
      </c>
      <c r="M30" s="305">
        <v>0</v>
      </c>
      <c r="N30" s="318" t="s">
        <v>880</v>
      </c>
    </row>
    <row r="31" spans="1:15">
      <c r="A31" s="259" t="s">
        <v>243</v>
      </c>
      <c r="B31" s="36"/>
      <c r="C31" s="44">
        <v>252</v>
      </c>
      <c r="D31" s="45"/>
      <c r="E31" s="258">
        <v>0</v>
      </c>
      <c r="F31" s="303">
        <f t="shared" si="4"/>
        <v>0</v>
      </c>
      <c r="G31" s="304">
        <v>0</v>
      </c>
      <c r="H31" s="304">
        <v>0</v>
      </c>
      <c r="I31" s="304">
        <v>0</v>
      </c>
      <c r="J31" s="304">
        <v>0</v>
      </c>
      <c r="K31" s="304">
        <v>0</v>
      </c>
      <c r="L31" s="304">
        <v>0</v>
      </c>
      <c r="M31" s="305">
        <v>0</v>
      </c>
      <c r="N31" s="348"/>
    </row>
    <row r="32" spans="1:15">
      <c r="A32" s="259" t="s">
        <v>244</v>
      </c>
      <c r="B32" s="36"/>
      <c r="C32" s="44">
        <v>253</v>
      </c>
      <c r="D32" s="259"/>
      <c r="E32" s="258">
        <v>0</v>
      </c>
      <c r="F32" s="303">
        <f t="shared" si="4"/>
        <v>0</v>
      </c>
      <c r="G32" s="304">
        <v>0</v>
      </c>
      <c r="H32" s="304">
        <v>0</v>
      </c>
      <c r="I32" s="304">
        <v>0</v>
      </c>
      <c r="J32" s="304">
        <v>0</v>
      </c>
      <c r="K32" s="304">
        <v>0</v>
      </c>
      <c r="L32" s="304">
        <v>0</v>
      </c>
      <c r="M32" s="305">
        <v>0</v>
      </c>
      <c r="N32" s="348"/>
    </row>
    <row r="33" spans="1:14">
      <c r="A33" s="259" t="s">
        <v>245</v>
      </c>
      <c r="B33" s="36"/>
      <c r="C33" s="44">
        <v>255</v>
      </c>
      <c r="D33" s="259"/>
      <c r="E33" s="258">
        <v>0</v>
      </c>
      <c r="F33" s="303">
        <f t="shared" si="4"/>
        <v>0</v>
      </c>
      <c r="G33" s="304">
        <v>0</v>
      </c>
      <c r="H33" s="304">
        <v>0</v>
      </c>
      <c r="I33" s="304">
        <v>0</v>
      </c>
      <c r="J33" s="304">
        <v>0</v>
      </c>
      <c r="K33" s="304">
        <v>0</v>
      </c>
      <c r="L33" s="304">
        <v>0</v>
      </c>
      <c r="M33" s="305">
        <v>0</v>
      </c>
      <c r="N33" s="348"/>
    </row>
    <row r="34" spans="1:14">
      <c r="A34" s="259" t="s">
        <v>246</v>
      </c>
      <c r="B34" s="36"/>
      <c r="C34" s="44">
        <v>256</v>
      </c>
      <c r="D34" s="259"/>
      <c r="E34" s="258">
        <v>0</v>
      </c>
      <c r="F34" s="303">
        <f t="shared" si="4"/>
        <v>0</v>
      </c>
      <c r="G34" s="304">
        <v>0</v>
      </c>
      <c r="H34" s="304">
        <v>0</v>
      </c>
      <c r="I34" s="304">
        <v>0</v>
      </c>
      <c r="J34" s="304">
        <v>0</v>
      </c>
      <c r="K34" s="304">
        <v>0</v>
      </c>
      <c r="L34" s="304">
        <v>0</v>
      </c>
      <c r="M34" s="305">
        <v>0</v>
      </c>
      <c r="N34" s="348"/>
    </row>
    <row r="35" spans="1:14">
      <c r="A35" s="259" t="s">
        <v>247</v>
      </c>
      <c r="B35" s="36"/>
      <c r="C35" s="44">
        <v>257</v>
      </c>
      <c r="D35" s="259"/>
      <c r="E35" s="258">
        <v>0</v>
      </c>
      <c r="F35" s="303">
        <f t="shared" si="4"/>
        <v>0</v>
      </c>
      <c r="G35" s="304">
        <v>0</v>
      </c>
      <c r="H35" s="304">
        <v>0</v>
      </c>
      <c r="I35" s="304">
        <v>0</v>
      </c>
      <c r="J35" s="304">
        <v>0</v>
      </c>
      <c r="K35" s="304">
        <v>0</v>
      </c>
      <c r="L35" s="304">
        <v>0</v>
      </c>
      <c r="M35" s="305">
        <v>0</v>
      </c>
      <c r="N35" s="348"/>
    </row>
    <row r="36" spans="1:14" s="370" customFormat="1">
      <c r="A36" s="530" t="s">
        <v>248</v>
      </c>
      <c r="B36" s="57"/>
      <c r="C36" s="597" t="s">
        <v>249</v>
      </c>
      <c r="D36" s="530"/>
      <c r="E36" s="258">
        <v>10</v>
      </c>
      <c r="F36" s="303">
        <f t="shared" si="4"/>
        <v>10</v>
      </c>
      <c r="G36" s="304">
        <v>0</v>
      </c>
      <c r="H36" s="304">
        <v>0</v>
      </c>
      <c r="I36" s="304">
        <v>0</v>
      </c>
      <c r="J36" s="304">
        <v>10</v>
      </c>
      <c r="K36" s="304">
        <v>0</v>
      </c>
      <c r="L36" s="304">
        <v>0</v>
      </c>
      <c r="M36" s="305">
        <v>0</v>
      </c>
      <c r="N36" s="318" t="s">
        <v>311</v>
      </c>
    </row>
    <row r="37" spans="1:14" s="370" customFormat="1">
      <c r="A37" s="601" t="s">
        <v>250</v>
      </c>
      <c r="B37" s="57"/>
      <c r="C37" s="621" t="s">
        <v>251</v>
      </c>
      <c r="D37" s="601"/>
      <c r="E37" s="258">
        <v>0</v>
      </c>
      <c r="F37" s="303">
        <f t="shared" si="4"/>
        <v>0</v>
      </c>
      <c r="G37" s="304">
        <v>0</v>
      </c>
      <c r="H37" s="304">
        <v>0</v>
      </c>
      <c r="I37" s="304">
        <v>0</v>
      </c>
      <c r="J37" s="304">
        <v>0</v>
      </c>
      <c r="K37" s="304">
        <v>0</v>
      </c>
      <c r="L37" s="304">
        <v>0</v>
      </c>
      <c r="M37" s="305">
        <v>0</v>
      </c>
      <c r="N37" s="348"/>
    </row>
    <row r="38" spans="1:14" s="370" customFormat="1">
      <c r="A38" s="601" t="s">
        <v>252</v>
      </c>
      <c r="B38" s="57"/>
      <c r="C38" s="621" t="s">
        <v>253</v>
      </c>
      <c r="D38" s="601"/>
      <c r="E38" s="258">
        <v>0</v>
      </c>
      <c r="F38" s="303">
        <f t="shared" si="4"/>
        <v>-150</v>
      </c>
      <c r="G38" s="304">
        <v>0</v>
      </c>
      <c r="H38" s="304">
        <v>0</v>
      </c>
      <c r="I38" s="304">
        <v>0</v>
      </c>
      <c r="J38" s="304">
        <v>-150</v>
      </c>
      <c r="K38" s="304">
        <v>0</v>
      </c>
      <c r="L38" s="304">
        <v>0</v>
      </c>
      <c r="M38" s="305">
        <v>0</v>
      </c>
      <c r="N38" s="318" t="s">
        <v>1586</v>
      </c>
    </row>
    <row r="39" spans="1:14">
      <c r="A39" s="40" t="s">
        <v>254</v>
      </c>
      <c r="B39" s="260"/>
      <c r="C39" s="261"/>
      <c r="D39" s="262"/>
      <c r="E39" s="43">
        <f t="shared" ref="E39:M39" si="5">SUM(E24:E38)</f>
        <v>155</v>
      </c>
      <c r="F39" s="43">
        <f t="shared" si="5"/>
        <v>-30</v>
      </c>
      <c r="G39" s="43">
        <f t="shared" si="5"/>
        <v>0</v>
      </c>
      <c r="H39" s="43">
        <f t="shared" si="5"/>
        <v>0</v>
      </c>
      <c r="I39" s="43">
        <f t="shared" si="5"/>
        <v>0</v>
      </c>
      <c r="J39" s="43">
        <f t="shared" si="5"/>
        <v>-30</v>
      </c>
      <c r="K39" s="43">
        <f t="shared" si="5"/>
        <v>0</v>
      </c>
      <c r="L39" s="43">
        <f t="shared" si="5"/>
        <v>0</v>
      </c>
      <c r="M39" s="43">
        <f t="shared" si="5"/>
        <v>0</v>
      </c>
      <c r="N39" s="348"/>
    </row>
    <row r="40" spans="1:14" s="149" customFormat="1">
      <c r="A40" s="40" t="s">
        <v>255</v>
      </c>
      <c r="B40" s="51"/>
      <c r="C40" s="147"/>
      <c r="D40" s="262"/>
      <c r="E40" s="236">
        <v>0</v>
      </c>
      <c r="F40" s="235">
        <f>SUM(G40:L40)</f>
        <v>203</v>
      </c>
      <c r="G40" s="235"/>
      <c r="H40" s="235">
        <v>0</v>
      </c>
      <c r="I40" s="235">
        <v>0</v>
      </c>
      <c r="J40" s="235">
        <f>84+119</f>
        <v>203</v>
      </c>
      <c r="K40" s="235"/>
      <c r="L40" s="235"/>
      <c r="M40" s="235"/>
      <c r="N40" s="348" t="s">
        <v>1420</v>
      </c>
    </row>
    <row r="41" spans="1:14">
      <c r="A41" s="40" t="s">
        <v>256</v>
      </c>
      <c r="B41" s="46"/>
      <c r="C41" s="47"/>
      <c r="D41" s="48">
        <f>D39+D22+D16</f>
        <v>3</v>
      </c>
      <c r="E41" s="42">
        <f t="shared" ref="E41:M41" si="6">E39+E22+E16-E40</f>
        <v>515</v>
      </c>
      <c r="F41" s="17">
        <f t="shared" si="6"/>
        <v>277</v>
      </c>
      <c r="G41" s="17">
        <f t="shared" si="6"/>
        <v>0</v>
      </c>
      <c r="H41" s="17">
        <f t="shared" si="6"/>
        <v>0</v>
      </c>
      <c r="I41" s="17">
        <f t="shared" si="6"/>
        <v>0</v>
      </c>
      <c r="J41" s="17">
        <f t="shared" si="6"/>
        <v>277</v>
      </c>
      <c r="K41" s="17">
        <f t="shared" si="6"/>
        <v>0</v>
      </c>
      <c r="L41" s="17">
        <f t="shared" si="6"/>
        <v>0</v>
      </c>
      <c r="M41" s="17">
        <f t="shared" si="6"/>
        <v>0</v>
      </c>
      <c r="N41" s="346"/>
    </row>
    <row r="43" spans="1:14" s="370" customFormat="1" ht="44.5" customHeight="1">
      <c r="C43" s="639"/>
      <c r="H43" s="159"/>
      <c r="I43" s="159" t="s">
        <v>735</v>
      </c>
      <c r="J43" s="650" t="s">
        <v>1124</v>
      </c>
      <c r="K43" s="539"/>
    </row>
    <row r="44" spans="1:14" s="370" customFormat="1">
      <c r="C44" s="639"/>
    </row>
    <row r="45" spans="1:14">
      <c r="A45" s="370"/>
      <c r="B45" s="370"/>
      <c r="C45" s="639"/>
      <c r="D45" s="370"/>
      <c r="E45" s="370"/>
      <c r="F45" s="370"/>
      <c r="G45" s="370"/>
      <c r="H45" s="370"/>
      <c r="I45" s="370">
        <f>515-I46</f>
        <v>270</v>
      </c>
      <c r="J45" s="382">
        <f>((277-J46)-0.4)</f>
        <v>193.1</v>
      </c>
      <c r="K45" s="370"/>
      <c r="L45" s="370" t="s">
        <v>24</v>
      </c>
      <c r="M45" s="370" t="s">
        <v>312</v>
      </c>
      <c r="N45" s="370"/>
    </row>
    <row r="46" spans="1:14">
      <c r="A46" s="370"/>
      <c r="B46" s="370"/>
      <c r="C46" s="639"/>
      <c r="D46" s="370"/>
      <c r="E46" s="370"/>
      <c r="F46" s="370"/>
      <c r="G46" s="370"/>
      <c r="H46" s="370"/>
      <c r="I46" s="370">
        <v>245</v>
      </c>
      <c r="J46" s="382">
        <f>((480-75)/2)-119</f>
        <v>83.5</v>
      </c>
      <c r="K46" s="370"/>
      <c r="L46" s="370" t="s">
        <v>25</v>
      </c>
      <c r="M46" s="370"/>
      <c r="N46" s="370"/>
    </row>
    <row r="48" spans="1:14">
      <c r="A48" s="370"/>
      <c r="B48" s="370"/>
      <c r="C48" s="639"/>
      <c r="D48" s="370"/>
      <c r="E48" s="370"/>
      <c r="F48" s="370"/>
      <c r="G48" s="370"/>
      <c r="H48" s="370"/>
      <c r="I48" s="370">
        <f>SUM(I45:I47)</f>
        <v>515</v>
      </c>
      <c r="J48" s="382">
        <f>SUM(J45:J47)</f>
        <v>276.60000000000002</v>
      </c>
      <c r="K48" s="370"/>
      <c r="L48" s="370"/>
      <c r="M48" s="370" t="s">
        <v>1588</v>
      </c>
      <c r="N48" s="370"/>
    </row>
    <row r="50" spans="1:14" s="370" customFormat="1" ht="15" thickBot="1">
      <c r="A50" s="31"/>
      <c r="B50" s="31"/>
      <c r="C50" s="32"/>
      <c r="D50" s="31"/>
      <c r="E50" s="31"/>
      <c r="F50" s="31"/>
      <c r="G50" s="31"/>
      <c r="H50" s="31"/>
      <c r="I50" s="31"/>
      <c r="J50" s="31"/>
      <c r="K50" s="31"/>
      <c r="L50" s="31"/>
      <c r="M50" s="31"/>
      <c r="N50" s="536"/>
    </row>
    <row r="51" spans="1:14" s="370" customFormat="1" ht="15.5">
      <c r="A51" s="873" t="s">
        <v>257</v>
      </c>
      <c r="B51" s="874"/>
      <c r="C51" s="874"/>
      <c r="D51" s="874"/>
      <c r="E51" s="874"/>
      <c r="F51" s="874"/>
      <c r="G51" s="550"/>
      <c r="H51" s="31"/>
      <c r="I51" s="31"/>
      <c r="J51" s="31"/>
      <c r="K51" s="31"/>
      <c r="L51" s="31"/>
      <c r="M51" s="31"/>
      <c r="N51" s="536"/>
    </row>
    <row r="52" spans="1:14" s="370" customFormat="1" ht="15.5">
      <c r="A52" s="875"/>
      <c r="B52" s="876"/>
      <c r="C52" s="876"/>
      <c r="D52" s="876"/>
      <c r="E52" s="876"/>
      <c r="F52" s="876"/>
      <c r="G52" s="551"/>
      <c r="H52" s="31"/>
      <c r="I52" s="31"/>
      <c r="J52" s="31"/>
      <c r="K52" s="31"/>
      <c r="L52" s="31"/>
      <c r="M52" s="31"/>
      <c r="N52" s="536"/>
    </row>
    <row r="53" spans="1:14" s="370" customFormat="1">
      <c r="A53" s="877" t="s">
        <v>258</v>
      </c>
      <c r="B53" s="878"/>
      <c r="C53" s="552"/>
      <c r="D53" s="552"/>
      <c r="E53" s="552"/>
      <c r="F53" s="552"/>
      <c r="G53" s="551"/>
      <c r="H53" s="31"/>
      <c r="I53" s="31"/>
      <c r="J53" s="31"/>
      <c r="K53" s="31"/>
      <c r="L53" s="31"/>
      <c r="M53" s="31"/>
      <c r="N53" s="536"/>
    </row>
    <row r="54" spans="1:14" s="370" customFormat="1">
      <c r="A54" s="553" t="s">
        <v>1028</v>
      </c>
      <c r="B54" s="554">
        <f>E41</f>
        <v>515</v>
      </c>
      <c r="C54" s="555"/>
      <c r="D54" s="556"/>
      <c r="E54" s="556"/>
      <c r="F54" s="556"/>
      <c r="G54" s="551"/>
      <c r="H54" s="31"/>
      <c r="I54" s="31"/>
      <c r="J54" s="31"/>
      <c r="K54" s="31"/>
      <c r="L54" s="31"/>
      <c r="M54" s="31"/>
      <c r="N54" s="536"/>
    </row>
    <row r="55" spans="1:14" s="370" customFormat="1">
      <c r="A55" s="557" t="s">
        <v>1029</v>
      </c>
      <c r="B55" s="558">
        <f>F41</f>
        <v>277</v>
      </c>
      <c r="C55" s="555"/>
      <c r="D55" s="556"/>
      <c r="E55" s="556"/>
      <c r="F55" s="556"/>
      <c r="G55" s="551"/>
      <c r="H55" s="31"/>
      <c r="I55" s="31"/>
      <c r="J55" s="31"/>
      <c r="K55" s="31"/>
      <c r="L55" s="31"/>
      <c r="M55" s="31"/>
      <c r="N55" s="536"/>
    </row>
    <row r="56" spans="1:14" s="370" customFormat="1">
      <c r="A56" s="559" t="s">
        <v>259</v>
      </c>
      <c r="B56" s="560">
        <f>B55-B54</f>
        <v>-238</v>
      </c>
      <c r="C56" s="555"/>
      <c r="D56" s="556"/>
      <c r="E56" s="556"/>
      <c r="F56" s="556"/>
      <c r="G56" s="551"/>
      <c r="H56" s="31"/>
      <c r="I56" s="31"/>
      <c r="J56" s="31"/>
      <c r="K56" s="31"/>
      <c r="L56" s="31"/>
      <c r="M56" s="31"/>
      <c r="N56" s="536"/>
    </row>
    <row r="57" spans="1:14" s="370" customFormat="1">
      <c r="A57" s="559" t="s">
        <v>260</v>
      </c>
      <c r="B57" s="561">
        <f>B56/B54</f>
        <v>-0.46213592233009709</v>
      </c>
      <c r="C57" s="555"/>
      <c r="D57" s="556"/>
      <c r="E57" s="556"/>
      <c r="F57" s="556"/>
      <c r="G57" s="551"/>
      <c r="H57" s="31"/>
      <c r="I57" s="31"/>
      <c r="J57" s="31"/>
      <c r="K57" s="31"/>
      <c r="L57" s="31"/>
      <c r="M57" s="31"/>
      <c r="N57" s="536"/>
    </row>
    <row r="58" spans="1:14" s="370" customFormat="1">
      <c r="A58" s="562"/>
      <c r="B58" s="556"/>
      <c r="C58" s="647"/>
      <c r="D58" s="556"/>
      <c r="E58" s="556"/>
      <c r="F58" s="556"/>
      <c r="G58" s="551"/>
      <c r="H58" s="31"/>
      <c r="I58" s="31"/>
      <c r="J58" s="31"/>
      <c r="K58" s="31"/>
      <c r="L58" s="31"/>
      <c r="M58" s="31"/>
      <c r="N58" s="536"/>
    </row>
    <row r="59" spans="1:14" s="370" customFormat="1">
      <c r="A59" s="879" t="s">
        <v>261</v>
      </c>
      <c r="B59" s="880"/>
      <c r="C59" s="880"/>
      <c r="D59" s="880"/>
      <c r="E59" s="880"/>
      <c r="F59" s="880"/>
      <c r="G59" s="551"/>
      <c r="H59" s="31"/>
      <c r="I59" s="31"/>
      <c r="J59" s="31"/>
      <c r="K59" s="31"/>
      <c r="L59" s="31"/>
      <c r="M59" s="31"/>
      <c r="N59" s="536"/>
    </row>
    <row r="60" spans="1:14" s="370" customFormat="1" ht="28.15" customHeight="1">
      <c r="A60" s="881" t="s">
        <v>1130</v>
      </c>
      <c r="B60" s="882"/>
      <c r="C60" s="882"/>
      <c r="D60" s="882"/>
      <c r="E60" s="882"/>
      <c r="F60" s="883"/>
      <c r="G60" s="551"/>
      <c r="H60" s="31"/>
      <c r="I60" s="31"/>
      <c r="J60" s="31"/>
      <c r="K60" s="31"/>
      <c r="L60" s="31"/>
      <c r="M60" s="31"/>
      <c r="N60" s="536"/>
    </row>
    <row r="61" spans="1:14" s="370" customFormat="1">
      <c r="A61" s="563"/>
      <c r="B61" s="564"/>
      <c r="C61" s="564"/>
      <c r="D61" s="564"/>
      <c r="E61" s="564"/>
      <c r="F61" s="564"/>
      <c r="G61" s="551"/>
      <c r="H61" s="31"/>
      <c r="I61" s="31"/>
      <c r="J61" s="31"/>
      <c r="K61" s="31"/>
      <c r="L61" s="31"/>
      <c r="M61" s="31"/>
      <c r="N61" s="536"/>
    </row>
    <row r="62" spans="1:14" s="370" customFormat="1">
      <c r="A62" s="565" t="s">
        <v>262</v>
      </c>
      <c r="B62" s="556"/>
      <c r="C62" s="722"/>
      <c r="D62" s="556"/>
      <c r="E62" s="556"/>
      <c r="F62" s="556"/>
      <c r="G62" s="551"/>
      <c r="H62" s="31"/>
      <c r="I62" s="31"/>
      <c r="J62" s="31"/>
      <c r="K62" s="31"/>
      <c r="L62" s="31"/>
      <c r="M62" s="31"/>
      <c r="N62" s="536"/>
    </row>
    <row r="63" spans="1:14" s="370" customFormat="1" ht="67.5" customHeight="1">
      <c r="A63" s="881" t="s">
        <v>1125</v>
      </c>
      <c r="B63" s="882"/>
      <c r="C63" s="882"/>
      <c r="D63" s="882"/>
      <c r="E63" s="882"/>
      <c r="F63" s="883"/>
      <c r="G63" s="551"/>
      <c r="H63" s="31"/>
      <c r="I63" s="31"/>
      <c r="J63" s="31"/>
      <c r="K63" s="31"/>
      <c r="L63" s="31"/>
      <c r="M63" s="31"/>
      <c r="N63" s="536"/>
    </row>
    <row r="64" spans="1:14" s="370" customFormat="1">
      <c r="A64" s="562"/>
      <c r="B64" s="556"/>
      <c r="C64" s="722"/>
      <c r="D64" s="556"/>
      <c r="E64" s="556"/>
      <c r="F64" s="556"/>
      <c r="G64" s="551"/>
      <c r="H64" s="31"/>
      <c r="I64" s="31"/>
      <c r="J64" s="31"/>
      <c r="K64" s="31"/>
      <c r="L64" s="31"/>
      <c r="M64" s="31"/>
      <c r="N64" s="536"/>
    </row>
    <row r="65" spans="1:14" s="370" customFormat="1">
      <c r="A65" s="879" t="s">
        <v>1020</v>
      </c>
      <c r="B65" s="880"/>
      <c r="C65" s="880"/>
      <c r="D65" s="880"/>
      <c r="E65" s="880"/>
      <c r="F65" s="880"/>
      <c r="G65" s="551"/>
      <c r="H65" s="31"/>
      <c r="I65" s="31"/>
      <c r="J65" s="31"/>
      <c r="K65" s="31"/>
      <c r="L65" s="31"/>
      <c r="M65" s="31"/>
      <c r="N65" s="536"/>
    </row>
    <row r="66" spans="1:14" s="370" customFormat="1">
      <c r="A66" s="887" t="s">
        <v>1021</v>
      </c>
      <c r="B66" s="888"/>
      <c r="C66" s="888"/>
      <c r="D66" s="888"/>
      <c r="E66" s="888"/>
      <c r="F66" s="888"/>
      <c r="G66" s="551"/>
      <c r="H66" s="31"/>
      <c r="I66" s="31"/>
      <c r="J66" s="31"/>
      <c r="K66" s="31"/>
      <c r="L66" s="31"/>
      <c r="M66" s="31"/>
      <c r="N66" s="536"/>
    </row>
    <row r="67" spans="1:14" s="370" customFormat="1" ht="43.9" customHeight="1">
      <c r="A67" s="881" t="s">
        <v>1126</v>
      </c>
      <c r="B67" s="882"/>
      <c r="C67" s="882"/>
      <c r="D67" s="882"/>
      <c r="E67" s="882"/>
      <c r="F67" s="883"/>
      <c r="G67" s="551"/>
      <c r="H67" s="31"/>
      <c r="I67" s="31"/>
      <c r="J67" s="31"/>
      <c r="K67" s="31"/>
      <c r="L67" s="31"/>
      <c r="M67" s="31"/>
      <c r="N67" s="536"/>
    </row>
    <row r="68" spans="1:14" s="370" customFormat="1">
      <c r="A68" s="565"/>
      <c r="B68" s="556"/>
      <c r="C68" s="722"/>
      <c r="D68" s="556"/>
      <c r="E68" s="556"/>
      <c r="F68" s="556"/>
      <c r="G68" s="551"/>
      <c r="H68" s="31"/>
      <c r="I68" s="31"/>
      <c r="J68" s="31"/>
      <c r="K68" s="31"/>
      <c r="L68" s="31"/>
      <c r="M68" s="31"/>
      <c r="N68" s="536"/>
    </row>
    <row r="69" spans="1:14" s="370" customFormat="1">
      <c r="A69" s="879" t="s">
        <v>264</v>
      </c>
      <c r="B69" s="880"/>
      <c r="C69" s="880"/>
      <c r="D69" s="880"/>
      <c r="E69" s="880"/>
      <c r="F69" s="556"/>
      <c r="G69" s="551"/>
      <c r="H69" s="31"/>
      <c r="I69" s="31"/>
      <c r="J69" s="31"/>
      <c r="K69" s="31"/>
      <c r="L69" s="31"/>
      <c r="M69" s="31"/>
      <c r="N69" s="536"/>
    </row>
    <row r="70" spans="1:14" s="370" customFormat="1" ht="30.4" customHeight="1">
      <c r="A70" s="900" t="s">
        <v>1127</v>
      </c>
      <c r="B70" s="901"/>
      <c r="C70" s="901"/>
      <c r="D70" s="901"/>
      <c r="E70" s="901"/>
      <c r="F70" s="902"/>
      <c r="G70" s="551"/>
      <c r="H70" s="31"/>
      <c r="I70" s="31"/>
      <c r="J70" s="31"/>
      <c r="K70" s="31"/>
      <c r="L70" s="31"/>
      <c r="M70" s="31"/>
      <c r="N70" s="536"/>
    </row>
    <row r="71" spans="1:14" s="370" customFormat="1">
      <c r="A71" s="562"/>
      <c r="B71" s="556"/>
      <c r="C71" s="722"/>
      <c r="D71" s="556"/>
      <c r="E71" s="556"/>
      <c r="F71" s="556"/>
      <c r="G71" s="551"/>
      <c r="H71" s="31"/>
      <c r="I71" s="31"/>
      <c r="J71" s="31"/>
      <c r="K71" s="31"/>
      <c r="L71" s="31"/>
      <c r="M71" s="31"/>
      <c r="N71" s="536"/>
    </row>
    <row r="72" spans="1:14" s="370" customFormat="1">
      <c r="A72" s="565" t="s">
        <v>265</v>
      </c>
      <c r="B72" s="556"/>
      <c r="C72" s="722"/>
      <c r="D72" s="556"/>
      <c r="E72" s="556"/>
      <c r="F72" s="556"/>
      <c r="G72" s="551"/>
      <c r="H72" s="31"/>
      <c r="I72" s="31"/>
      <c r="J72" s="31"/>
      <c r="K72" s="31"/>
      <c r="L72" s="31"/>
      <c r="M72" s="31"/>
      <c r="N72" s="536"/>
    </row>
    <row r="73" spans="1:14" s="370" customFormat="1">
      <c r="A73" s="566" t="s">
        <v>266</v>
      </c>
      <c r="B73" s="556"/>
      <c r="C73" s="722"/>
      <c r="D73" s="556"/>
      <c r="E73" s="556"/>
      <c r="F73" s="556"/>
      <c r="G73" s="551"/>
      <c r="H73" s="31"/>
      <c r="I73" s="31"/>
      <c r="J73" s="31"/>
      <c r="K73" s="31"/>
      <c r="L73" s="31"/>
      <c r="M73" s="31"/>
      <c r="N73" s="536"/>
    </row>
    <row r="74" spans="1:14" s="370" customFormat="1" ht="26.25" customHeight="1">
      <c r="A74" s="892" t="s">
        <v>1030</v>
      </c>
      <c r="B74" s="893"/>
      <c r="C74" s="893"/>
      <c r="D74" s="893"/>
      <c r="E74" s="893"/>
      <c r="F74" s="893"/>
      <c r="G74" s="551"/>
      <c r="H74" s="31"/>
      <c r="I74" s="31"/>
      <c r="J74" s="31"/>
      <c r="K74" s="31"/>
      <c r="L74" s="31"/>
      <c r="M74" s="31"/>
      <c r="N74" s="536"/>
    </row>
    <row r="75" spans="1:14" s="370" customFormat="1" ht="37.9" customHeight="1">
      <c r="A75" s="881" t="s">
        <v>1128</v>
      </c>
      <c r="B75" s="882"/>
      <c r="C75" s="882"/>
      <c r="D75" s="882"/>
      <c r="E75" s="882"/>
      <c r="F75" s="883"/>
      <c r="G75" s="551"/>
      <c r="H75" s="31"/>
      <c r="I75" s="31"/>
      <c r="J75" s="31"/>
      <c r="K75" s="31"/>
      <c r="L75" s="31"/>
      <c r="M75" s="31"/>
      <c r="N75" s="536"/>
    </row>
    <row r="76" spans="1:14" s="370" customFormat="1">
      <c r="A76" s="894"/>
      <c r="B76" s="895"/>
      <c r="C76" s="895"/>
      <c r="D76" s="895"/>
      <c r="E76" s="895"/>
      <c r="F76" s="895"/>
      <c r="G76" s="551"/>
      <c r="H76" s="31"/>
      <c r="I76" s="31"/>
      <c r="J76" s="31"/>
      <c r="K76" s="31"/>
      <c r="L76" s="31"/>
      <c r="M76" s="31"/>
      <c r="N76" s="536"/>
    </row>
    <row r="77" spans="1:14" s="370" customFormat="1">
      <c r="A77" s="566" t="s">
        <v>268</v>
      </c>
      <c r="B77" s="556"/>
      <c r="C77" s="722"/>
      <c r="D77" s="556"/>
      <c r="E77" s="556"/>
      <c r="F77" s="556"/>
      <c r="G77" s="551"/>
      <c r="H77" s="31"/>
      <c r="I77" s="31"/>
      <c r="J77" s="31"/>
      <c r="K77" s="31"/>
      <c r="L77" s="31"/>
      <c r="M77" s="31"/>
      <c r="N77" s="536"/>
    </row>
    <row r="78" spans="1:14" s="370" customFormat="1" ht="42.4" customHeight="1">
      <c r="A78" s="896" t="s">
        <v>269</v>
      </c>
      <c r="B78" s="897"/>
      <c r="C78" s="897"/>
      <c r="D78" s="897"/>
      <c r="E78" s="897"/>
      <c r="F78" s="897"/>
      <c r="G78" s="551"/>
      <c r="H78" s="31"/>
      <c r="I78" s="31"/>
      <c r="J78" s="31"/>
      <c r="K78" s="31"/>
      <c r="L78" s="31"/>
      <c r="M78" s="31"/>
      <c r="N78" s="536"/>
    </row>
    <row r="79" spans="1:14" s="370" customFormat="1" ht="70.5" customHeight="1">
      <c r="A79" s="900" t="s">
        <v>1129</v>
      </c>
      <c r="B79" s="901"/>
      <c r="C79" s="901"/>
      <c r="D79" s="901"/>
      <c r="E79" s="901"/>
      <c r="F79" s="902"/>
      <c r="G79" s="551"/>
      <c r="H79" s="31"/>
      <c r="I79" s="31"/>
      <c r="J79" s="31"/>
      <c r="K79" s="31"/>
      <c r="L79" s="31"/>
      <c r="M79" s="31"/>
      <c r="N79" s="536"/>
    </row>
    <row r="80" spans="1:14" s="370" customFormat="1" ht="15" thickBot="1">
      <c r="A80" s="567"/>
      <c r="B80" s="568"/>
      <c r="C80" s="569"/>
      <c r="D80" s="568"/>
      <c r="E80" s="568"/>
      <c r="F80" s="568"/>
      <c r="G80" s="570"/>
      <c r="H80" s="31"/>
      <c r="I80" s="31"/>
      <c r="J80" s="31"/>
      <c r="K80" s="31"/>
      <c r="L80" s="31"/>
      <c r="M80" s="31"/>
      <c r="N80" s="536"/>
    </row>
    <row r="81" spans="1:14" s="370" customFormat="1">
      <c r="A81" s="31"/>
      <c r="B81" s="31"/>
      <c r="C81" s="32"/>
      <c r="D81" s="31"/>
      <c r="E81" s="31"/>
      <c r="F81" s="31"/>
      <c r="G81" s="31"/>
      <c r="H81" s="31"/>
      <c r="I81" s="31"/>
      <c r="J81" s="31"/>
      <c r="K81" s="31"/>
      <c r="L81" s="31"/>
      <c r="M81" s="31"/>
      <c r="N81" s="536"/>
    </row>
    <row r="82" spans="1:14" s="370" customFormat="1">
      <c r="C82" s="723"/>
    </row>
    <row r="83" spans="1:14" s="370" customFormat="1">
      <c r="C83" s="723"/>
    </row>
    <row r="84" spans="1:14" s="370" customFormat="1">
      <c r="C84" s="723"/>
    </row>
    <row r="85" spans="1:14" s="370" customFormat="1">
      <c r="C85" s="723"/>
    </row>
    <row r="86" spans="1:14" s="370" customFormat="1">
      <c r="C86" s="723"/>
    </row>
    <row r="87" spans="1:14" s="370" customFormat="1">
      <c r="C87" s="723"/>
    </row>
    <row r="88" spans="1:14" s="370" customFormat="1">
      <c r="C88" s="723"/>
    </row>
    <row r="89" spans="1:14" s="370" customFormat="1">
      <c r="C89" s="723"/>
    </row>
    <row r="90" spans="1:14" s="370" customFormat="1">
      <c r="C90" s="723"/>
    </row>
    <row r="91" spans="1:14" s="370" customFormat="1">
      <c r="C91" s="723"/>
    </row>
    <row r="92" spans="1:14" s="370" customFormat="1">
      <c r="C92" s="723"/>
    </row>
    <row r="93" spans="1:14" s="370" customFormat="1">
      <c r="C93" s="723"/>
    </row>
    <row r="94" spans="1:14" s="370" customFormat="1">
      <c r="C94" s="723"/>
    </row>
    <row r="95" spans="1:14" s="370" customFormat="1">
      <c r="C95" s="723"/>
    </row>
    <row r="96" spans="1:14" s="370" customFormat="1">
      <c r="C96" s="723"/>
    </row>
    <row r="97" spans="3:3" s="370" customFormat="1">
      <c r="C97" s="723"/>
    </row>
    <row r="98" spans="3:3" s="370" customFormat="1">
      <c r="C98" s="723"/>
    </row>
    <row r="99" spans="3:3" s="370" customFormat="1">
      <c r="C99" s="723"/>
    </row>
    <row r="100" spans="3:3" s="370" customFormat="1">
      <c r="C100" s="648"/>
    </row>
    <row r="101" spans="3:3" s="370" customFormat="1">
      <c r="C101" s="648"/>
    </row>
    <row r="102" spans="3:3" s="370" customFormat="1">
      <c r="C102" s="648"/>
    </row>
    <row r="103" spans="3:3" s="370" customFormat="1">
      <c r="C103" s="648"/>
    </row>
    <row r="104" spans="3:3" s="370" customFormat="1">
      <c r="C104" s="648"/>
    </row>
    <row r="105" spans="3:3" s="370" customFormat="1">
      <c r="C105" s="648"/>
    </row>
    <row r="106" spans="3:3" s="370" customFormat="1">
      <c r="C106" s="648"/>
    </row>
    <row r="107" spans="3:3" s="370" customFormat="1">
      <c r="C107" s="648"/>
    </row>
    <row r="108" spans="3:3" s="370" customFormat="1">
      <c r="C108" s="648"/>
    </row>
    <row r="109" spans="3:3" s="370" customFormat="1">
      <c r="C109" s="648"/>
    </row>
    <row r="110" spans="3:3" s="370" customFormat="1">
      <c r="C110" s="648"/>
    </row>
    <row r="111" spans="3:3" s="370" customFormat="1">
      <c r="C111" s="648"/>
    </row>
    <row r="112" spans="3:3" s="370" customFormat="1">
      <c r="C112" s="648"/>
    </row>
    <row r="113" spans="3:3" s="370" customFormat="1">
      <c r="C113" s="648"/>
    </row>
    <row r="114" spans="3:3" s="370" customFormat="1">
      <c r="C114" s="648"/>
    </row>
    <row r="115" spans="3:3" s="370" customFormat="1">
      <c r="C115" s="648"/>
    </row>
    <row r="116" spans="3:3" s="370" customFormat="1">
      <c r="C116" s="648"/>
    </row>
    <row r="117" spans="3:3" s="370" customFormat="1">
      <c r="C117" s="648"/>
    </row>
    <row r="118" spans="3:3" s="370" customFormat="1">
      <c r="C118" s="648"/>
    </row>
    <row r="119" spans="3:3" s="370" customFormat="1">
      <c r="C119" s="648"/>
    </row>
    <row r="120" spans="3:3" s="370" customFormat="1">
      <c r="C120" s="648"/>
    </row>
    <row r="121" spans="3:3" s="370" customFormat="1">
      <c r="C121" s="648"/>
    </row>
    <row r="122" spans="3:3" s="370" customFormat="1">
      <c r="C122" s="648"/>
    </row>
    <row r="123" spans="3:3" s="370" customFormat="1">
      <c r="C123" s="648"/>
    </row>
    <row r="124" spans="3:3" s="370" customFormat="1">
      <c r="C124" s="648"/>
    </row>
    <row r="125" spans="3:3" s="370" customFormat="1">
      <c r="C125" s="648"/>
    </row>
    <row r="126" spans="3:3" s="370" customFormat="1">
      <c r="C126" s="648"/>
    </row>
    <row r="127" spans="3:3" s="370" customFormat="1">
      <c r="C127" s="648"/>
    </row>
    <row r="128" spans="3:3" s="370" customFormat="1">
      <c r="C128" s="648"/>
    </row>
    <row r="129" spans="3:3" s="370" customFormat="1">
      <c r="C129" s="648"/>
    </row>
    <row r="130" spans="3:3" s="370" customFormat="1">
      <c r="C130" s="648"/>
    </row>
    <row r="131" spans="3:3" s="370" customFormat="1">
      <c r="C131" s="648"/>
    </row>
    <row r="132" spans="3:3" s="370" customFormat="1">
      <c r="C132" s="648"/>
    </row>
    <row r="133" spans="3:3" s="370" customFormat="1">
      <c r="C133" s="648"/>
    </row>
    <row r="134" spans="3:3" s="370" customFormat="1">
      <c r="C134" s="648"/>
    </row>
    <row r="135" spans="3:3" s="370" customFormat="1">
      <c r="C135" s="648"/>
    </row>
    <row r="136" spans="3:3" s="370" customFormat="1">
      <c r="C136" s="648"/>
    </row>
    <row r="137" spans="3:3" s="370" customFormat="1">
      <c r="C137" s="648"/>
    </row>
    <row r="138" spans="3:3" s="370" customFormat="1">
      <c r="C138" s="648"/>
    </row>
    <row r="139" spans="3:3" s="370" customFormat="1">
      <c r="C139" s="648"/>
    </row>
    <row r="140" spans="3:3" s="370" customFormat="1">
      <c r="C140" s="648"/>
    </row>
    <row r="141" spans="3:3" s="370" customFormat="1">
      <c r="C141" s="648"/>
    </row>
    <row r="142" spans="3:3" s="370" customFormat="1">
      <c r="C142" s="648"/>
    </row>
    <row r="143" spans="3:3" s="370" customFormat="1">
      <c r="C143" s="648"/>
    </row>
    <row r="144" spans="3:3" s="370" customFormat="1">
      <c r="C144" s="648"/>
    </row>
    <row r="145" spans="3:3" s="370" customFormat="1">
      <c r="C145" s="648"/>
    </row>
    <row r="146" spans="3:3" s="370" customFormat="1">
      <c r="C146" s="648"/>
    </row>
    <row r="147" spans="3:3" s="370" customFormat="1">
      <c r="C147" s="648"/>
    </row>
    <row r="148" spans="3:3" s="370" customFormat="1">
      <c r="C148" s="648"/>
    </row>
    <row r="149" spans="3:3" s="370" customFormat="1">
      <c r="C149" s="648"/>
    </row>
    <row r="150" spans="3:3" s="370" customFormat="1">
      <c r="C150" s="648"/>
    </row>
    <row r="151" spans="3:3" s="370" customFormat="1">
      <c r="C151" s="648"/>
    </row>
    <row r="152" spans="3:3" s="370" customFormat="1">
      <c r="C152" s="648"/>
    </row>
    <row r="153" spans="3:3" s="370" customFormat="1">
      <c r="C153" s="648"/>
    </row>
    <row r="154" spans="3:3" s="370" customFormat="1">
      <c r="C154" s="648"/>
    </row>
    <row r="155" spans="3:3" s="370" customFormat="1">
      <c r="C155" s="648"/>
    </row>
    <row r="156" spans="3:3" s="370" customFormat="1">
      <c r="C156" s="648"/>
    </row>
    <row r="157" spans="3:3" s="370" customFormat="1">
      <c r="C157" s="648"/>
    </row>
    <row r="158" spans="3:3" s="370" customFormat="1">
      <c r="C158" s="648"/>
    </row>
    <row r="159" spans="3:3" s="370" customFormat="1">
      <c r="C159" s="648"/>
    </row>
    <row r="160" spans="3:3" s="370" customFormat="1">
      <c r="C160" s="648"/>
    </row>
    <row r="161" spans="3:3" s="370" customFormat="1">
      <c r="C161" s="648"/>
    </row>
    <row r="162" spans="3:3" s="370" customFormat="1">
      <c r="C162" s="648"/>
    </row>
    <row r="163" spans="3:3" s="370" customFormat="1">
      <c r="C163" s="648"/>
    </row>
    <row r="164" spans="3:3" s="370" customFormat="1">
      <c r="C164" s="648"/>
    </row>
    <row r="165" spans="3:3" s="370" customFormat="1">
      <c r="C165" s="648"/>
    </row>
    <row r="166" spans="3:3" s="370" customFormat="1">
      <c r="C166" s="648"/>
    </row>
    <row r="167" spans="3:3" s="370" customFormat="1">
      <c r="C167" s="648"/>
    </row>
    <row r="168" spans="3:3" s="370" customFormat="1">
      <c r="C168" s="648"/>
    </row>
    <row r="169" spans="3:3" s="370" customFormat="1">
      <c r="C169" s="648"/>
    </row>
    <row r="170" spans="3:3" s="370" customFormat="1">
      <c r="C170" s="648"/>
    </row>
    <row r="171" spans="3:3" s="370" customFormat="1">
      <c r="C171" s="648"/>
    </row>
    <row r="172" spans="3:3" s="370" customFormat="1">
      <c r="C172" s="648"/>
    </row>
    <row r="173" spans="3:3" s="370" customFormat="1">
      <c r="C173" s="648"/>
    </row>
    <row r="174" spans="3:3" s="370" customFormat="1">
      <c r="C174" s="648"/>
    </row>
    <row r="175" spans="3:3" s="370" customFormat="1">
      <c r="C175" s="648"/>
    </row>
    <row r="176" spans="3:3" s="370" customFormat="1">
      <c r="C176" s="648"/>
    </row>
    <row r="177" spans="3:3" s="370" customFormat="1">
      <c r="C177" s="648"/>
    </row>
    <row r="178" spans="3:3" s="370" customFormat="1">
      <c r="C178" s="648"/>
    </row>
  </sheetData>
  <mergeCells count="17">
    <mergeCell ref="A78:F78"/>
    <mergeCell ref="A79:F79"/>
    <mergeCell ref="A69:E69"/>
    <mergeCell ref="A70:F70"/>
    <mergeCell ref="A74:F74"/>
    <mergeCell ref="A75:F75"/>
    <mergeCell ref="A76:F76"/>
    <mergeCell ref="A60:F60"/>
    <mergeCell ref="A63:F63"/>
    <mergeCell ref="A65:F65"/>
    <mergeCell ref="A66:F66"/>
    <mergeCell ref="A67:F67"/>
    <mergeCell ref="A1:N1"/>
    <mergeCell ref="A51:F51"/>
    <mergeCell ref="A52:F52"/>
    <mergeCell ref="A53:B53"/>
    <mergeCell ref="A59:F59"/>
  </mergeCells>
  <printOptions horizontalCentered="1"/>
  <pageMargins left="0.2" right="0.2" top="0.75" bottom="0.75" header="0.3" footer="0.3"/>
  <pageSetup scale="72" orientation="landscape" r:id="rId1"/>
  <headerFooter>
    <oddHeader xml:space="preserve">&amp;CDRAFT NOT FOR DISTRIBUTION, INTERNAL USE ONLY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N89"/>
  <sheetViews>
    <sheetView zoomScaleNormal="100" workbookViewId="0">
      <selection sqref="A1:N1"/>
    </sheetView>
  </sheetViews>
  <sheetFormatPr defaultColWidth="9.1796875" defaultRowHeight="14.5"/>
  <cols>
    <col min="1" max="1" width="45.81640625" style="149" customWidth="1"/>
    <col min="2" max="2" width="12" style="149" customWidth="1"/>
    <col min="3" max="3" width="7.7265625" style="150" customWidth="1"/>
    <col min="4" max="4" width="10.81640625" style="149" customWidth="1"/>
    <col min="5" max="5" width="10.7265625" style="149" customWidth="1"/>
    <col min="6" max="6" width="11" style="149" customWidth="1"/>
    <col min="7" max="7" width="9.54296875" style="149" customWidth="1"/>
    <col min="8" max="8" width="8.453125" style="149" customWidth="1"/>
    <col min="9" max="10" width="7.1796875" style="149" customWidth="1"/>
    <col min="11" max="11" width="7.7265625" style="149" customWidth="1"/>
    <col min="12" max="12" width="9.7265625" style="149" customWidth="1"/>
    <col min="13" max="13" width="9.1796875" style="149" customWidth="1"/>
    <col min="14" max="14" width="23.7265625" style="149" customWidth="1"/>
    <col min="15" max="16384" width="9.1796875" style="149"/>
  </cols>
  <sheetData>
    <row r="1" spans="1:14" ht="15.5">
      <c r="A1" s="854" t="s">
        <v>165</v>
      </c>
      <c r="B1" s="854"/>
      <c r="C1" s="854"/>
      <c r="D1" s="854"/>
      <c r="E1" s="854"/>
      <c r="F1" s="854"/>
      <c r="G1" s="854"/>
      <c r="H1" s="854"/>
      <c r="I1" s="854"/>
      <c r="J1" s="854"/>
      <c r="K1" s="854"/>
      <c r="L1" s="854"/>
      <c r="M1" s="854"/>
      <c r="N1" s="854"/>
    </row>
    <row r="2" spans="1:14">
      <c r="A2" s="702" t="s">
        <v>950</v>
      </c>
      <c r="B2" s="370"/>
      <c r="C2" s="639"/>
      <c r="D2" s="370"/>
      <c r="E2" s="370"/>
      <c r="F2" s="370"/>
      <c r="G2" s="370"/>
      <c r="H2" s="370"/>
      <c r="I2" s="370"/>
      <c r="J2" s="370"/>
      <c r="K2" s="370"/>
      <c r="L2" s="370"/>
      <c r="M2" s="370"/>
      <c r="N2" s="370"/>
    </row>
    <row r="3" spans="1:14">
      <c r="A3" s="506" t="s">
        <v>313</v>
      </c>
      <c r="B3" s="370"/>
      <c r="C3" s="29"/>
      <c r="D3" s="29"/>
      <c r="E3" s="29"/>
      <c r="F3" s="451" t="s">
        <v>210</v>
      </c>
      <c r="G3" s="370"/>
      <c r="H3" s="370"/>
      <c r="I3" s="370"/>
      <c r="J3" s="370"/>
      <c r="K3" s="370"/>
      <c r="L3" s="370"/>
      <c r="M3" s="370"/>
      <c r="N3" s="370"/>
    </row>
    <row r="4" spans="1:14">
      <c r="A4" s="506" t="s">
        <v>304</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382</v>
      </c>
      <c r="B7" s="36"/>
      <c r="C7" s="37" t="s">
        <v>218</v>
      </c>
      <c r="D7" s="38"/>
      <c r="E7" s="258">
        <v>0</v>
      </c>
      <c r="F7" s="303">
        <f>SUM(G7:M7)</f>
        <v>0</v>
      </c>
      <c r="G7" s="304"/>
      <c r="H7" s="304"/>
      <c r="I7" s="304"/>
      <c r="J7" s="304"/>
      <c r="K7" s="304"/>
      <c r="L7" s="304"/>
      <c r="M7" s="305"/>
      <c r="N7" s="318"/>
    </row>
    <row r="8" spans="1:14" ht="15" customHeight="1">
      <c r="A8" s="36" t="s">
        <v>314</v>
      </c>
      <c r="B8" s="36"/>
      <c r="C8" s="37" t="s">
        <v>218</v>
      </c>
      <c r="D8" s="39"/>
      <c r="E8" s="258"/>
      <c r="F8" s="303">
        <f>SUM(G8:M8)</f>
        <v>0</v>
      </c>
      <c r="G8" s="304"/>
      <c r="H8" s="304"/>
      <c r="I8" s="304"/>
      <c r="J8" s="304"/>
      <c r="K8" s="304"/>
      <c r="L8" s="304"/>
      <c r="M8" s="305"/>
      <c r="N8" s="348"/>
    </row>
    <row r="9" spans="1:14" ht="15" customHeight="1">
      <c r="A9" s="36" t="s">
        <v>314</v>
      </c>
      <c r="B9" s="259"/>
      <c r="C9" s="37" t="s">
        <v>218</v>
      </c>
      <c r="D9" s="39"/>
      <c r="E9" s="258"/>
      <c r="F9" s="303">
        <f>SUM(G9:M9)</f>
        <v>0</v>
      </c>
      <c r="G9" s="304"/>
      <c r="H9" s="304"/>
      <c r="I9" s="304"/>
      <c r="J9" s="304"/>
      <c r="K9" s="304"/>
      <c r="L9" s="304"/>
      <c r="M9" s="305"/>
      <c r="N9" s="348"/>
    </row>
    <row r="10" spans="1:14">
      <c r="A10" s="40" t="s">
        <v>219</v>
      </c>
      <c r="B10" s="260"/>
      <c r="C10" s="261"/>
      <c r="D10" s="41">
        <f t="shared" ref="D10:N10" si="0">SUM(D7:D9)</f>
        <v>0</v>
      </c>
      <c r="E10" s="42">
        <f t="shared" si="0"/>
        <v>0</v>
      </c>
      <c r="F10" s="43">
        <f t="shared" si="0"/>
        <v>0</v>
      </c>
      <c r="G10" s="43">
        <f t="shared" si="0"/>
        <v>0</v>
      </c>
      <c r="H10" s="43">
        <f t="shared" si="0"/>
        <v>0</v>
      </c>
      <c r="I10" s="43">
        <f t="shared" si="0"/>
        <v>0</v>
      </c>
      <c r="J10" s="43">
        <f t="shared" si="0"/>
        <v>0</v>
      </c>
      <c r="K10" s="43">
        <f t="shared" si="0"/>
        <v>0</v>
      </c>
      <c r="L10" s="43">
        <f t="shared" si="0"/>
        <v>0</v>
      </c>
      <c r="M10" s="43">
        <f t="shared" si="0"/>
        <v>0</v>
      </c>
      <c r="N10" s="43">
        <f t="shared" si="0"/>
        <v>0</v>
      </c>
    </row>
    <row r="11" spans="1:14">
      <c r="A11" s="67" t="s">
        <v>220</v>
      </c>
      <c r="B11" s="68"/>
      <c r="C11" s="69"/>
      <c r="D11" s="68"/>
      <c r="E11" s="68"/>
      <c r="F11" s="70"/>
      <c r="G11" s="70"/>
      <c r="H11" s="70"/>
      <c r="I11" s="70"/>
      <c r="J11" s="70"/>
      <c r="K11" s="70"/>
      <c r="L11" s="70"/>
      <c r="M11" s="70"/>
      <c r="N11" s="70"/>
    </row>
    <row r="12" spans="1:14">
      <c r="A12" s="259" t="s">
        <v>298</v>
      </c>
      <c r="B12" s="259"/>
      <c r="C12" s="44">
        <v>253</v>
      </c>
      <c r="D12" s="45"/>
      <c r="E12" s="258"/>
      <c r="F12" s="350">
        <f>SUM(G12:M12)</f>
        <v>0</v>
      </c>
      <c r="G12" s="304"/>
      <c r="H12" s="304"/>
      <c r="I12" s="304"/>
      <c r="J12" s="304"/>
      <c r="K12" s="304">
        <v>0</v>
      </c>
      <c r="L12" s="304">
        <v>0</v>
      </c>
      <c r="M12" s="305">
        <v>0</v>
      </c>
      <c r="N12" s="320"/>
    </row>
    <row r="13" spans="1:14">
      <c r="A13" s="259" t="s">
        <v>296</v>
      </c>
      <c r="B13" s="259"/>
      <c r="C13" s="44">
        <v>253</v>
      </c>
      <c r="D13" s="45"/>
      <c r="E13" s="258"/>
      <c r="F13" s="350">
        <f>SUM(G13:M13)</f>
        <v>0</v>
      </c>
      <c r="G13" s="304"/>
      <c r="H13" s="304"/>
      <c r="I13" s="304"/>
      <c r="J13" s="304"/>
      <c r="K13" s="304">
        <v>0</v>
      </c>
      <c r="L13" s="304">
        <v>0</v>
      </c>
      <c r="M13" s="305">
        <v>0</v>
      </c>
      <c r="N13" s="319"/>
    </row>
    <row r="14" spans="1:14">
      <c r="A14" s="259" t="s">
        <v>296</v>
      </c>
      <c r="B14" s="259"/>
      <c r="C14" s="44">
        <v>253</v>
      </c>
      <c r="D14" s="262"/>
      <c r="E14" s="258"/>
      <c r="F14" s="350">
        <f>SUM(G14:M14)</f>
        <v>0</v>
      </c>
      <c r="G14" s="304"/>
      <c r="H14" s="304"/>
      <c r="I14" s="304"/>
      <c r="J14" s="304"/>
      <c r="K14" s="304">
        <v>0</v>
      </c>
      <c r="L14" s="304">
        <v>0</v>
      </c>
      <c r="M14" s="305">
        <v>0</v>
      </c>
      <c r="N14" s="348"/>
    </row>
    <row r="15" spans="1:14" s="7" customFormat="1">
      <c r="A15" s="259" t="s">
        <v>315</v>
      </c>
      <c r="B15" s="259"/>
      <c r="C15" s="44">
        <v>253</v>
      </c>
      <c r="D15" s="262"/>
      <c r="E15" s="258"/>
      <c r="F15" s="350">
        <f>SUM(G15:M15)</f>
        <v>0</v>
      </c>
      <c r="G15" s="304"/>
      <c r="H15" s="304"/>
      <c r="I15" s="304"/>
      <c r="J15" s="304"/>
      <c r="K15" s="304">
        <v>0</v>
      </c>
      <c r="L15" s="304">
        <v>0</v>
      </c>
      <c r="M15" s="305">
        <v>0</v>
      </c>
      <c r="N15" s="319"/>
    </row>
    <row r="16" spans="1:14">
      <c r="A16" s="40" t="s">
        <v>225</v>
      </c>
      <c r="B16" s="260"/>
      <c r="C16" s="261"/>
      <c r="D16" s="262">
        <f>SUM(D12:D15)</f>
        <v>0</v>
      </c>
      <c r="E16" s="42">
        <f>SUM(E12:E15)</f>
        <v>0</v>
      </c>
      <c r="F16" s="43">
        <f>SUM(F12:F15)</f>
        <v>0</v>
      </c>
      <c r="G16" s="43">
        <f t="shared" ref="G16:M16" si="1">SUM(G12:G15)</f>
        <v>0</v>
      </c>
      <c r="H16" s="43">
        <f t="shared" si="1"/>
        <v>0</v>
      </c>
      <c r="I16" s="43">
        <f t="shared" si="1"/>
        <v>0</v>
      </c>
      <c r="J16" s="43">
        <f t="shared" si="1"/>
        <v>0</v>
      </c>
      <c r="K16" s="43">
        <f t="shared" si="1"/>
        <v>0</v>
      </c>
      <c r="L16" s="43">
        <f t="shared" si="1"/>
        <v>0</v>
      </c>
      <c r="M16" s="43">
        <f t="shared" si="1"/>
        <v>0</v>
      </c>
      <c r="N16" s="348"/>
    </row>
    <row r="17" spans="1:14" s="7" customFormat="1">
      <c r="A17" s="67" t="s">
        <v>226</v>
      </c>
      <c r="B17" s="68"/>
      <c r="C17" s="69"/>
      <c r="D17" s="68"/>
      <c r="E17" s="68"/>
      <c r="F17" s="70"/>
      <c r="G17" s="70"/>
      <c r="H17" s="70"/>
      <c r="I17" s="70"/>
      <c r="J17" s="70"/>
      <c r="K17" s="70"/>
      <c r="L17" s="70"/>
      <c r="M17" s="70"/>
      <c r="N17" s="70"/>
    </row>
    <row r="18" spans="1:14" ht="15" customHeight="1">
      <c r="A18" s="259" t="s">
        <v>227</v>
      </c>
      <c r="B18" s="36"/>
      <c r="C18" s="37" t="s">
        <v>228</v>
      </c>
      <c r="D18" s="38">
        <v>0</v>
      </c>
      <c r="E18" s="258"/>
      <c r="F18" s="303">
        <f t="shared" ref="F18:F31" si="2">SUM(G18:M18)</f>
        <v>0</v>
      </c>
      <c r="G18" s="304"/>
      <c r="H18" s="304"/>
      <c r="I18" s="304"/>
      <c r="J18" s="304"/>
      <c r="K18" s="304">
        <v>0</v>
      </c>
      <c r="L18" s="304">
        <v>0</v>
      </c>
      <c r="M18" s="305">
        <v>0</v>
      </c>
      <c r="N18" s="318"/>
    </row>
    <row r="19" spans="1:14">
      <c r="A19" s="259" t="s">
        <v>229</v>
      </c>
      <c r="B19" s="36"/>
      <c r="C19" s="44" t="s">
        <v>230</v>
      </c>
      <c r="D19" s="45"/>
      <c r="E19" s="258"/>
      <c r="F19" s="303">
        <f t="shared" si="2"/>
        <v>0</v>
      </c>
      <c r="G19" s="304"/>
      <c r="H19" s="304"/>
      <c r="I19" s="304"/>
      <c r="J19" s="304">
        <v>0</v>
      </c>
      <c r="K19" s="304">
        <v>0</v>
      </c>
      <c r="L19" s="304">
        <v>0</v>
      </c>
      <c r="M19" s="305">
        <v>0</v>
      </c>
      <c r="N19" s="348"/>
    </row>
    <row r="20" spans="1:14">
      <c r="A20" s="259" t="s">
        <v>231</v>
      </c>
      <c r="B20" s="36"/>
      <c r="C20" s="44" t="s">
        <v>232</v>
      </c>
      <c r="D20" s="45"/>
      <c r="E20" s="258"/>
      <c r="F20" s="303">
        <f t="shared" si="2"/>
        <v>0</v>
      </c>
      <c r="G20" s="304"/>
      <c r="H20" s="304"/>
      <c r="I20" s="304"/>
      <c r="J20" s="304">
        <v>0</v>
      </c>
      <c r="K20" s="304">
        <v>0</v>
      </c>
      <c r="L20" s="304">
        <v>0</v>
      </c>
      <c r="M20" s="305">
        <v>0</v>
      </c>
      <c r="N20" s="348"/>
    </row>
    <row r="21" spans="1:14">
      <c r="A21" s="259" t="s">
        <v>233</v>
      </c>
      <c r="B21" s="36"/>
      <c r="C21" s="44" t="s">
        <v>234</v>
      </c>
      <c r="D21" s="45"/>
      <c r="E21" s="258"/>
      <c r="F21" s="303">
        <f t="shared" si="2"/>
        <v>0</v>
      </c>
      <c r="G21" s="304"/>
      <c r="H21" s="304"/>
      <c r="I21" s="304"/>
      <c r="J21" s="304">
        <v>0</v>
      </c>
      <c r="K21" s="304">
        <v>0</v>
      </c>
      <c r="L21" s="304">
        <v>0</v>
      </c>
      <c r="M21" s="305">
        <v>0</v>
      </c>
      <c r="N21" s="348"/>
    </row>
    <row r="22" spans="1:14">
      <c r="A22" s="259" t="s">
        <v>316</v>
      </c>
      <c r="B22" s="371"/>
      <c r="C22" s="44">
        <v>251</v>
      </c>
      <c r="D22" s="45"/>
      <c r="E22" s="258">
        <v>26</v>
      </c>
      <c r="F22" s="303">
        <f t="shared" si="2"/>
        <v>26</v>
      </c>
      <c r="G22" s="304">
        <v>0</v>
      </c>
      <c r="H22" s="304">
        <v>26</v>
      </c>
      <c r="I22" s="304">
        <v>0</v>
      </c>
      <c r="J22" s="304">
        <v>0</v>
      </c>
      <c r="K22" s="304">
        <v>0</v>
      </c>
      <c r="L22" s="304">
        <f>SUM(150-150)</f>
        <v>0</v>
      </c>
      <c r="M22" s="305">
        <v>0</v>
      </c>
      <c r="N22" s="320"/>
    </row>
    <row r="23" spans="1:14">
      <c r="A23" s="259" t="s">
        <v>317</v>
      </c>
      <c r="B23" s="36"/>
      <c r="C23" s="44">
        <v>252</v>
      </c>
      <c r="D23" s="45"/>
      <c r="E23" s="258"/>
      <c r="F23" s="303">
        <f t="shared" si="2"/>
        <v>0</v>
      </c>
      <c r="G23" s="304"/>
      <c r="H23" s="304"/>
      <c r="I23" s="304"/>
      <c r="J23" s="304">
        <v>0</v>
      </c>
      <c r="K23" s="304">
        <v>0</v>
      </c>
      <c r="L23" s="304">
        <v>0</v>
      </c>
      <c r="M23" s="305">
        <v>0</v>
      </c>
      <c r="N23" s="348"/>
    </row>
    <row r="24" spans="1:14">
      <c r="A24" s="259" t="s">
        <v>318</v>
      </c>
      <c r="B24" s="36"/>
      <c r="C24" s="44">
        <v>252</v>
      </c>
      <c r="D24" s="45"/>
      <c r="E24" s="258"/>
      <c r="F24" s="303">
        <f t="shared" si="2"/>
        <v>0</v>
      </c>
      <c r="G24" s="304"/>
      <c r="H24" s="304"/>
      <c r="I24" s="304"/>
      <c r="J24" s="304">
        <v>0</v>
      </c>
      <c r="K24" s="304">
        <v>0</v>
      </c>
      <c r="L24" s="304">
        <v>0</v>
      </c>
      <c r="M24" s="305">
        <v>0</v>
      </c>
      <c r="N24" s="348"/>
    </row>
    <row r="25" spans="1:14">
      <c r="A25" s="259" t="s">
        <v>244</v>
      </c>
      <c r="B25" s="36"/>
      <c r="C25" s="44">
        <v>253</v>
      </c>
      <c r="D25" s="259"/>
      <c r="E25" s="258"/>
      <c r="F25" s="303">
        <f t="shared" si="2"/>
        <v>0</v>
      </c>
      <c r="G25" s="304"/>
      <c r="H25" s="304"/>
      <c r="I25" s="304"/>
      <c r="J25" s="304">
        <v>0</v>
      </c>
      <c r="K25" s="304">
        <v>0</v>
      </c>
      <c r="L25" s="304">
        <v>0</v>
      </c>
      <c r="M25" s="305">
        <v>0</v>
      </c>
      <c r="N25" s="348"/>
    </row>
    <row r="26" spans="1:14">
      <c r="A26" s="259" t="s">
        <v>245</v>
      </c>
      <c r="B26" s="36"/>
      <c r="C26" s="44">
        <v>255</v>
      </c>
      <c r="D26" s="259"/>
      <c r="E26" s="258"/>
      <c r="F26" s="303">
        <f t="shared" si="2"/>
        <v>0</v>
      </c>
      <c r="G26" s="304"/>
      <c r="H26" s="304"/>
      <c r="I26" s="304"/>
      <c r="J26" s="304">
        <v>0</v>
      </c>
      <c r="K26" s="304">
        <v>0</v>
      </c>
      <c r="L26" s="304">
        <v>0</v>
      </c>
      <c r="M26" s="305">
        <v>0</v>
      </c>
      <c r="N26" s="348"/>
    </row>
    <row r="27" spans="1:14">
      <c r="A27" s="259" t="s">
        <v>246</v>
      </c>
      <c r="B27" s="36"/>
      <c r="C27" s="44">
        <v>256</v>
      </c>
      <c r="D27" s="259"/>
      <c r="E27" s="258"/>
      <c r="F27" s="303">
        <f t="shared" si="2"/>
        <v>0</v>
      </c>
      <c r="G27" s="304"/>
      <c r="H27" s="304"/>
      <c r="I27" s="304"/>
      <c r="J27" s="304">
        <v>0</v>
      </c>
      <c r="K27" s="304">
        <v>0</v>
      </c>
      <c r="L27" s="304">
        <v>0</v>
      </c>
      <c r="M27" s="305">
        <v>0</v>
      </c>
      <c r="N27" s="348"/>
    </row>
    <row r="28" spans="1:14">
      <c r="A28" s="259" t="s">
        <v>247</v>
      </c>
      <c r="B28" s="36"/>
      <c r="C28" s="44">
        <v>257</v>
      </c>
      <c r="D28" s="259"/>
      <c r="E28" s="258"/>
      <c r="F28" s="303">
        <f t="shared" si="2"/>
        <v>0</v>
      </c>
      <c r="G28" s="304"/>
      <c r="H28" s="304"/>
      <c r="I28" s="304"/>
      <c r="J28" s="304">
        <v>0</v>
      </c>
      <c r="K28" s="304">
        <v>0</v>
      </c>
      <c r="L28" s="304">
        <v>0</v>
      </c>
      <c r="M28" s="305">
        <v>0</v>
      </c>
      <c r="N28" s="348"/>
    </row>
    <row r="29" spans="1:14">
      <c r="A29" s="259" t="s">
        <v>248</v>
      </c>
      <c r="B29" s="36"/>
      <c r="C29" s="44" t="s">
        <v>249</v>
      </c>
      <c r="D29" s="259"/>
      <c r="E29" s="258"/>
      <c r="F29" s="303">
        <f t="shared" si="2"/>
        <v>0</v>
      </c>
      <c r="G29" s="304"/>
      <c r="H29" s="304"/>
      <c r="I29" s="304"/>
      <c r="J29" s="304">
        <v>0</v>
      </c>
      <c r="K29" s="304">
        <v>0</v>
      </c>
      <c r="L29" s="304">
        <v>0</v>
      </c>
      <c r="M29" s="305">
        <v>0</v>
      </c>
      <c r="N29" s="348"/>
    </row>
    <row r="30" spans="1:14" s="370" customFormat="1">
      <c r="A30" s="260" t="s">
        <v>250</v>
      </c>
      <c r="B30" s="36"/>
      <c r="C30" s="261" t="s">
        <v>251</v>
      </c>
      <c r="D30" s="260"/>
      <c r="E30" s="258"/>
      <c r="F30" s="303">
        <f t="shared" si="2"/>
        <v>0</v>
      </c>
      <c r="G30" s="304"/>
      <c r="H30" s="304"/>
      <c r="I30" s="304"/>
      <c r="J30" s="304">
        <v>0</v>
      </c>
      <c r="K30" s="304"/>
      <c r="L30" s="304"/>
      <c r="M30" s="305"/>
      <c r="N30" s="348"/>
    </row>
    <row r="31" spans="1:14">
      <c r="A31" s="260" t="s">
        <v>252</v>
      </c>
      <c r="B31" s="36"/>
      <c r="C31" s="261" t="s">
        <v>253</v>
      </c>
      <c r="D31" s="260"/>
      <c r="E31" s="258">
        <v>0</v>
      </c>
      <c r="F31" s="303">
        <f t="shared" si="2"/>
        <v>0</v>
      </c>
      <c r="G31" s="304">
        <v>0</v>
      </c>
      <c r="H31" s="304">
        <f>-12+12</f>
        <v>0</v>
      </c>
      <c r="I31" s="304">
        <v>0</v>
      </c>
      <c r="J31" s="304">
        <v>0</v>
      </c>
      <c r="K31" s="304">
        <v>0</v>
      </c>
      <c r="L31" s="304">
        <v>0</v>
      </c>
      <c r="M31" s="305">
        <v>0</v>
      </c>
      <c r="N31" s="318"/>
    </row>
    <row r="32" spans="1:14">
      <c r="A32" s="40" t="s">
        <v>254</v>
      </c>
      <c r="B32" s="260"/>
      <c r="C32" s="261"/>
      <c r="D32" s="262"/>
      <c r="E32" s="42">
        <f t="shared" ref="E32:M32" si="3">SUM(E18:E31)</f>
        <v>26</v>
      </c>
      <c r="F32" s="43">
        <f t="shared" si="3"/>
        <v>26</v>
      </c>
      <c r="G32" s="43">
        <f t="shared" si="3"/>
        <v>0</v>
      </c>
      <c r="H32" s="43">
        <f t="shared" si="3"/>
        <v>26</v>
      </c>
      <c r="I32" s="43">
        <f t="shared" si="3"/>
        <v>0</v>
      </c>
      <c r="J32" s="43">
        <f t="shared" si="3"/>
        <v>0</v>
      </c>
      <c r="K32" s="43">
        <f t="shared" si="3"/>
        <v>0</v>
      </c>
      <c r="L32" s="43">
        <f t="shared" si="3"/>
        <v>0</v>
      </c>
      <c r="M32" s="43">
        <f t="shared" si="3"/>
        <v>0</v>
      </c>
      <c r="N32" s="348"/>
    </row>
    <row r="33" spans="1:14">
      <c r="A33" s="40" t="s">
        <v>255</v>
      </c>
      <c r="B33" s="51"/>
      <c r="C33" s="147"/>
      <c r="D33" s="262"/>
      <c r="E33" s="236"/>
      <c r="F33" s="235">
        <v>0</v>
      </c>
      <c r="G33" s="235"/>
      <c r="H33" s="235">
        <v>0</v>
      </c>
      <c r="I33" s="235"/>
      <c r="J33" s="235"/>
      <c r="K33" s="235"/>
      <c r="L33" s="235"/>
      <c r="M33" s="235"/>
      <c r="N33" s="348"/>
    </row>
    <row r="34" spans="1:14">
      <c r="A34" s="40" t="s">
        <v>319</v>
      </c>
      <c r="B34" s="51"/>
      <c r="C34" s="147"/>
      <c r="D34" s="262"/>
      <c r="E34" s="236">
        <v>0</v>
      </c>
      <c r="F34" s="235"/>
      <c r="G34" s="235"/>
      <c r="H34" s="235"/>
      <c r="I34" s="235"/>
      <c r="J34" s="235"/>
      <c r="K34" s="235"/>
      <c r="L34" s="235"/>
      <c r="M34" s="235"/>
      <c r="N34" s="348"/>
    </row>
    <row r="35" spans="1:14">
      <c r="A35" s="40" t="s">
        <v>256</v>
      </c>
      <c r="B35" s="46"/>
      <c r="C35" s="47"/>
      <c r="D35" s="48">
        <f>D32+D16+D10</f>
        <v>0</v>
      </c>
      <c r="E35" s="42">
        <f>E32+E16+E10-E34</f>
        <v>26</v>
      </c>
      <c r="F35" s="17">
        <f>F32+F16+F10-F34</f>
        <v>26</v>
      </c>
      <c r="G35" s="17">
        <f t="shared" ref="G35:M35" si="4">G32+G16+G10-G34</f>
        <v>0</v>
      </c>
      <c r="H35" s="17">
        <f t="shared" si="4"/>
        <v>26</v>
      </c>
      <c r="I35" s="17">
        <f t="shared" si="4"/>
        <v>0</v>
      </c>
      <c r="J35" s="17">
        <f t="shared" si="4"/>
        <v>0</v>
      </c>
      <c r="K35" s="17">
        <f t="shared" si="4"/>
        <v>0</v>
      </c>
      <c r="L35" s="17">
        <f t="shared" si="4"/>
        <v>0</v>
      </c>
      <c r="M35" s="17">
        <f t="shared" si="4"/>
        <v>0</v>
      </c>
      <c r="N35" s="17">
        <f>N32+N16+N10+N34</f>
        <v>0</v>
      </c>
    </row>
    <row r="36" spans="1:14">
      <c r="A36" s="148"/>
      <c r="B36" s="370"/>
      <c r="C36" s="29"/>
      <c r="D36" s="216"/>
      <c r="E36" s="215"/>
      <c r="F36" s="215"/>
      <c r="G36" s="29"/>
      <c r="H36" s="370"/>
      <c r="I36" s="370"/>
      <c r="J36" s="370"/>
      <c r="K36" s="370"/>
      <c r="L36" s="370"/>
      <c r="M36" s="370"/>
      <c r="N36" s="370"/>
    </row>
    <row r="40" spans="1:14" s="370" customFormat="1" ht="15" thickBot="1">
      <c r="A40" s="31"/>
      <c r="B40" s="31"/>
      <c r="C40" s="32"/>
      <c r="D40" s="31"/>
      <c r="E40" s="31"/>
      <c r="F40" s="31"/>
      <c r="G40" s="31"/>
      <c r="H40" s="31"/>
      <c r="I40" s="31"/>
      <c r="J40" s="31"/>
      <c r="K40" s="31"/>
      <c r="L40" s="31"/>
      <c r="M40" s="31"/>
      <c r="N40" s="536"/>
    </row>
    <row r="41" spans="1:14" s="370" customFormat="1" ht="15.5">
      <c r="A41" s="873" t="s">
        <v>257</v>
      </c>
      <c r="B41" s="874"/>
      <c r="C41" s="874"/>
      <c r="D41" s="874"/>
      <c r="E41" s="874"/>
      <c r="F41" s="874"/>
      <c r="G41" s="550"/>
      <c r="H41" s="31"/>
      <c r="I41" s="31"/>
      <c r="J41" s="31"/>
      <c r="K41" s="31"/>
      <c r="L41" s="31"/>
      <c r="M41" s="31"/>
      <c r="N41" s="536"/>
    </row>
    <row r="42" spans="1:14" s="370" customFormat="1" ht="15.5">
      <c r="A42" s="875"/>
      <c r="B42" s="876"/>
      <c r="C42" s="876"/>
      <c r="D42" s="876"/>
      <c r="E42" s="876"/>
      <c r="F42" s="876"/>
      <c r="G42" s="551"/>
      <c r="H42" s="31"/>
      <c r="I42" s="31"/>
      <c r="J42" s="31"/>
      <c r="K42" s="31"/>
      <c r="L42" s="31"/>
      <c r="M42" s="31"/>
      <c r="N42" s="536"/>
    </row>
    <row r="43" spans="1:14" s="370" customFormat="1">
      <c r="A43" s="877" t="s">
        <v>258</v>
      </c>
      <c r="B43" s="878"/>
      <c r="C43" s="552"/>
      <c r="D43" s="552"/>
      <c r="E43" s="552"/>
      <c r="F43" s="552"/>
      <c r="G43" s="551"/>
      <c r="H43" s="31"/>
      <c r="I43" s="31"/>
      <c r="J43" s="31"/>
      <c r="K43" s="31"/>
      <c r="L43" s="31"/>
      <c r="M43" s="31"/>
      <c r="N43" s="536"/>
    </row>
    <row r="44" spans="1:14" s="370" customFormat="1">
      <c r="A44" s="553" t="s">
        <v>283</v>
      </c>
      <c r="B44" s="554">
        <f>+E35</f>
        <v>26</v>
      </c>
      <c r="C44" s="555"/>
      <c r="D44" s="556"/>
      <c r="E44" s="556"/>
      <c r="F44" s="556"/>
      <c r="G44" s="551"/>
      <c r="H44" s="31"/>
      <c r="I44" s="31"/>
      <c r="J44" s="31"/>
      <c r="K44" s="31"/>
      <c r="L44" s="31"/>
      <c r="M44" s="31"/>
      <c r="N44" s="536"/>
    </row>
    <row r="45" spans="1:14" s="370" customFormat="1">
      <c r="A45" s="557" t="s">
        <v>284</v>
      </c>
      <c r="B45" s="558">
        <f>+F35</f>
        <v>26</v>
      </c>
      <c r="C45" s="555"/>
      <c r="D45" s="556"/>
      <c r="E45" s="556"/>
      <c r="F45" s="556"/>
      <c r="G45" s="551"/>
      <c r="H45" s="31"/>
      <c r="I45" s="31"/>
      <c r="J45" s="31"/>
      <c r="K45" s="31"/>
      <c r="L45" s="31"/>
      <c r="M45" s="31"/>
      <c r="N45" s="536"/>
    </row>
    <row r="46" spans="1:14" s="370" customFormat="1">
      <c r="A46" s="559" t="s">
        <v>259</v>
      </c>
      <c r="B46" s="560">
        <f>B45-B44</f>
        <v>0</v>
      </c>
      <c r="C46" s="555"/>
      <c r="D46" s="556"/>
      <c r="E46" s="556"/>
      <c r="F46" s="556"/>
      <c r="G46" s="551"/>
      <c r="H46" s="31"/>
      <c r="I46" s="31"/>
      <c r="J46" s="31"/>
      <c r="K46" s="31"/>
      <c r="L46" s="31"/>
      <c r="M46" s="31"/>
      <c r="N46" s="536"/>
    </row>
    <row r="47" spans="1:14" s="370" customFormat="1">
      <c r="A47" s="559" t="s">
        <v>260</v>
      </c>
      <c r="B47" s="561">
        <f>B46/B44</f>
        <v>0</v>
      </c>
      <c r="C47" s="555"/>
      <c r="D47" s="556"/>
      <c r="E47" s="556"/>
      <c r="F47" s="556"/>
      <c r="G47" s="551"/>
      <c r="H47" s="31"/>
      <c r="I47" s="31"/>
      <c r="J47" s="31"/>
      <c r="K47" s="31"/>
      <c r="L47" s="31"/>
      <c r="M47" s="31"/>
      <c r="N47" s="536"/>
    </row>
    <row r="48" spans="1:14" s="370" customFormat="1">
      <c r="A48" s="562"/>
      <c r="B48" s="556"/>
      <c r="C48" s="638"/>
      <c r="D48" s="556"/>
      <c r="E48" s="556"/>
      <c r="F48" s="556"/>
      <c r="G48" s="551"/>
      <c r="H48" s="31"/>
      <c r="I48" s="31"/>
      <c r="J48" s="31"/>
      <c r="K48" s="31"/>
      <c r="L48" s="31"/>
      <c r="M48" s="31"/>
      <c r="N48" s="536"/>
    </row>
    <row r="49" spans="1:14" s="370" customFormat="1">
      <c r="A49" s="879" t="s">
        <v>261</v>
      </c>
      <c r="B49" s="880"/>
      <c r="C49" s="880"/>
      <c r="D49" s="880"/>
      <c r="E49" s="880"/>
      <c r="F49" s="880"/>
      <c r="G49" s="551"/>
      <c r="H49" s="31"/>
      <c r="I49" s="31"/>
      <c r="J49" s="31"/>
      <c r="K49" s="31"/>
      <c r="L49" s="31"/>
      <c r="M49" s="31"/>
      <c r="N49" s="536"/>
    </row>
    <row r="50" spans="1:14" s="370" customFormat="1">
      <c r="A50" s="881" t="s">
        <v>320</v>
      </c>
      <c r="B50" s="882"/>
      <c r="C50" s="882"/>
      <c r="D50" s="882"/>
      <c r="E50" s="882"/>
      <c r="F50" s="883"/>
      <c r="G50" s="551"/>
      <c r="H50" s="31"/>
      <c r="I50" s="31"/>
      <c r="J50" s="31"/>
      <c r="K50" s="31"/>
      <c r="L50" s="31"/>
      <c r="M50" s="31"/>
      <c r="N50" s="536"/>
    </row>
    <row r="51" spans="1:14" s="370" customFormat="1">
      <c r="A51" s="563"/>
      <c r="B51" s="564"/>
      <c r="C51" s="564"/>
      <c r="D51" s="564"/>
      <c r="E51" s="564"/>
      <c r="F51" s="564"/>
      <c r="G51" s="551"/>
      <c r="H51" s="31"/>
      <c r="I51" s="31"/>
      <c r="J51" s="31"/>
      <c r="K51" s="31"/>
      <c r="L51" s="31"/>
      <c r="M51" s="31"/>
      <c r="N51" s="536"/>
    </row>
    <row r="52" spans="1:14" s="370" customFormat="1">
      <c r="A52" s="565" t="s">
        <v>262</v>
      </c>
      <c r="B52" s="556"/>
      <c r="C52" s="749"/>
      <c r="D52" s="556"/>
      <c r="E52" s="556"/>
      <c r="F52" s="556"/>
      <c r="G52" s="551"/>
      <c r="H52" s="31"/>
      <c r="I52" s="31"/>
      <c r="J52" s="31"/>
      <c r="K52" s="31"/>
      <c r="L52" s="31"/>
      <c r="M52" s="31"/>
      <c r="N52" s="536"/>
    </row>
    <row r="53" spans="1:14" s="370" customFormat="1" ht="51" customHeight="1">
      <c r="A53" s="881" t="s">
        <v>321</v>
      </c>
      <c r="B53" s="882"/>
      <c r="C53" s="882"/>
      <c r="D53" s="882"/>
      <c r="E53" s="882"/>
      <c r="F53" s="883"/>
      <c r="G53" s="551"/>
      <c r="H53" s="31"/>
      <c r="I53" s="31"/>
      <c r="J53" s="31"/>
      <c r="K53" s="31"/>
      <c r="L53" s="31"/>
      <c r="M53" s="31"/>
      <c r="N53" s="536"/>
    </row>
    <row r="54" spans="1:14" s="370" customFormat="1">
      <c r="A54" s="562"/>
      <c r="B54" s="556"/>
      <c r="C54" s="749"/>
      <c r="D54" s="556"/>
      <c r="E54" s="556"/>
      <c r="F54" s="556"/>
      <c r="G54" s="551"/>
      <c r="H54" s="31"/>
      <c r="I54" s="31"/>
      <c r="J54" s="31"/>
      <c r="K54" s="31"/>
      <c r="L54" s="31"/>
      <c r="M54" s="31"/>
      <c r="N54" s="536"/>
    </row>
    <row r="55" spans="1:14" s="370" customFormat="1">
      <c r="A55" s="879" t="s">
        <v>740</v>
      </c>
      <c r="B55" s="880"/>
      <c r="C55" s="880"/>
      <c r="D55" s="880"/>
      <c r="E55" s="880"/>
      <c r="F55" s="880"/>
      <c r="G55" s="551"/>
      <c r="H55" s="31"/>
      <c r="I55" s="31"/>
      <c r="J55" s="31"/>
      <c r="K55" s="31"/>
      <c r="L55" s="31"/>
      <c r="M55" s="31"/>
      <c r="N55" s="536"/>
    </row>
    <row r="56" spans="1:14" s="370" customFormat="1">
      <c r="A56" s="898" t="s">
        <v>799</v>
      </c>
      <c r="B56" s="899"/>
      <c r="C56" s="899"/>
      <c r="D56" s="899"/>
      <c r="E56" s="899"/>
      <c r="F56" s="899"/>
      <c r="G56" s="551"/>
      <c r="H56" s="31"/>
      <c r="I56" s="31"/>
      <c r="J56" s="31"/>
      <c r="K56" s="31"/>
      <c r="L56" s="31"/>
      <c r="M56" s="31"/>
      <c r="N56" s="536"/>
    </row>
    <row r="57" spans="1:14" s="751" customFormat="1" ht="30.4" customHeight="1">
      <c r="A57" s="881" t="s">
        <v>322</v>
      </c>
      <c r="B57" s="882"/>
      <c r="C57" s="882"/>
      <c r="D57" s="882"/>
      <c r="E57" s="882"/>
      <c r="F57" s="883"/>
      <c r="G57" s="620"/>
      <c r="H57" s="536"/>
      <c r="I57" s="536"/>
      <c r="J57" s="536"/>
      <c r="K57" s="536"/>
      <c r="L57" s="536"/>
      <c r="M57" s="536"/>
      <c r="N57" s="536"/>
    </row>
    <row r="58" spans="1:14" s="370" customFormat="1">
      <c r="A58" s="565"/>
      <c r="B58" s="556"/>
      <c r="C58" s="749"/>
      <c r="D58" s="556"/>
      <c r="E58" s="556"/>
      <c r="F58" s="556"/>
      <c r="G58" s="551"/>
      <c r="H58" s="31"/>
      <c r="I58" s="31"/>
      <c r="J58" s="31"/>
      <c r="K58" s="31"/>
      <c r="L58" s="31"/>
      <c r="M58" s="31"/>
      <c r="N58" s="536"/>
    </row>
    <row r="59" spans="1:14" s="370" customFormat="1">
      <c r="A59" s="879" t="s">
        <v>264</v>
      </c>
      <c r="B59" s="880"/>
      <c r="C59" s="880"/>
      <c r="D59" s="880"/>
      <c r="E59" s="880"/>
      <c r="F59" s="556"/>
      <c r="G59" s="551"/>
      <c r="H59" s="31"/>
      <c r="I59" s="31"/>
      <c r="J59" s="31"/>
      <c r="K59" s="31"/>
      <c r="L59" s="31"/>
      <c r="M59" s="31"/>
      <c r="N59" s="536"/>
    </row>
    <row r="60" spans="1:14" s="751" customFormat="1" ht="32.25" customHeight="1">
      <c r="A60" s="900" t="s">
        <v>323</v>
      </c>
      <c r="B60" s="901"/>
      <c r="C60" s="901"/>
      <c r="D60" s="901"/>
      <c r="E60" s="901"/>
      <c r="F60" s="902"/>
      <c r="G60" s="620"/>
      <c r="H60" s="536"/>
      <c r="I60" s="536"/>
      <c r="J60" s="536"/>
      <c r="K60" s="536"/>
      <c r="L60" s="536"/>
      <c r="M60" s="536"/>
      <c r="N60" s="536"/>
    </row>
    <row r="61" spans="1:14" s="370" customFormat="1">
      <c r="A61" s="562"/>
      <c r="B61" s="556"/>
      <c r="C61" s="749"/>
      <c r="D61" s="556"/>
      <c r="E61" s="556"/>
      <c r="F61" s="556"/>
      <c r="G61" s="551"/>
      <c r="H61" s="31"/>
      <c r="I61" s="31"/>
      <c r="J61" s="31"/>
      <c r="K61" s="31"/>
      <c r="L61" s="31"/>
      <c r="M61" s="31"/>
      <c r="N61" s="536"/>
    </row>
    <row r="62" spans="1:14" s="370" customFormat="1">
      <c r="A62" s="565" t="s">
        <v>265</v>
      </c>
      <c r="B62" s="556"/>
      <c r="C62" s="749"/>
      <c r="D62" s="556"/>
      <c r="E62" s="556"/>
      <c r="F62" s="556"/>
      <c r="G62" s="551"/>
      <c r="H62" s="31"/>
      <c r="I62" s="31"/>
      <c r="J62" s="31"/>
      <c r="K62" s="31"/>
      <c r="L62" s="31"/>
      <c r="M62" s="31"/>
      <c r="N62" s="536"/>
    </row>
    <row r="63" spans="1:14" s="370" customFormat="1">
      <c r="A63" s="566" t="s">
        <v>266</v>
      </c>
      <c r="B63" s="556"/>
      <c r="C63" s="749"/>
      <c r="D63" s="556"/>
      <c r="E63" s="556"/>
      <c r="F63" s="556"/>
      <c r="G63" s="551"/>
      <c r="H63" s="31"/>
      <c r="I63" s="31"/>
      <c r="J63" s="31"/>
      <c r="K63" s="31"/>
      <c r="L63" s="31"/>
      <c r="M63" s="31"/>
      <c r="N63" s="536"/>
    </row>
    <row r="64" spans="1:14" s="370" customFormat="1" ht="26.25" customHeight="1">
      <c r="A64" s="892" t="s">
        <v>499</v>
      </c>
      <c r="B64" s="893"/>
      <c r="C64" s="893"/>
      <c r="D64" s="893"/>
      <c r="E64" s="893"/>
      <c r="F64" s="893"/>
      <c r="G64" s="551"/>
      <c r="H64" s="31"/>
      <c r="I64" s="31"/>
      <c r="J64" s="31"/>
      <c r="K64" s="31"/>
      <c r="L64" s="31"/>
      <c r="M64" s="31"/>
      <c r="N64" s="536"/>
    </row>
    <row r="65" spans="1:14" s="370" customFormat="1" ht="54" customHeight="1">
      <c r="A65" s="881" t="s">
        <v>324</v>
      </c>
      <c r="B65" s="904"/>
      <c r="C65" s="904"/>
      <c r="D65" s="904"/>
      <c r="E65" s="904"/>
      <c r="F65" s="905"/>
      <c r="G65" s="551"/>
      <c r="H65" s="31"/>
      <c r="I65" s="31"/>
      <c r="J65" s="31"/>
      <c r="K65" s="31"/>
      <c r="L65" s="31"/>
      <c r="M65" s="31"/>
      <c r="N65" s="536"/>
    </row>
    <row r="66" spans="1:14" s="370" customFormat="1">
      <c r="A66" s="894"/>
      <c r="B66" s="895"/>
      <c r="C66" s="895"/>
      <c r="D66" s="895"/>
      <c r="E66" s="895"/>
      <c r="F66" s="895"/>
      <c r="G66" s="551"/>
      <c r="H66" s="31"/>
      <c r="I66" s="31"/>
      <c r="J66" s="31"/>
      <c r="K66" s="31"/>
      <c r="L66" s="31"/>
      <c r="M66" s="31"/>
      <c r="N66" s="536"/>
    </row>
    <row r="67" spans="1:14" s="370" customFormat="1">
      <c r="A67" s="566" t="s">
        <v>268</v>
      </c>
      <c r="B67" s="556"/>
      <c r="C67" s="749"/>
      <c r="D67" s="556"/>
      <c r="E67" s="556"/>
      <c r="F67" s="556"/>
      <c r="G67" s="551"/>
      <c r="H67" s="31"/>
      <c r="I67" s="31"/>
      <c r="J67" s="31"/>
      <c r="K67" s="31"/>
      <c r="L67" s="31"/>
      <c r="M67" s="31"/>
      <c r="N67" s="536"/>
    </row>
    <row r="68" spans="1:14" s="370" customFormat="1" ht="39.4" customHeight="1">
      <c r="A68" s="896" t="s">
        <v>269</v>
      </c>
      <c r="B68" s="897"/>
      <c r="C68" s="897"/>
      <c r="D68" s="897"/>
      <c r="E68" s="897"/>
      <c r="F68" s="897"/>
      <c r="G68" s="551"/>
      <c r="H68" s="31"/>
      <c r="I68" s="31"/>
      <c r="J68" s="31"/>
      <c r="K68" s="31"/>
      <c r="L68" s="31"/>
      <c r="M68" s="31"/>
      <c r="N68" s="536"/>
    </row>
    <row r="69" spans="1:14" s="370" customFormat="1" ht="63.4" customHeight="1">
      <c r="A69" s="900"/>
      <c r="B69" s="901"/>
      <c r="C69" s="901"/>
      <c r="D69" s="901"/>
      <c r="E69" s="901"/>
      <c r="F69" s="902"/>
      <c r="G69" s="551"/>
      <c r="H69" s="31"/>
      <c r="I69" s="31"/>
      <c r="J69" s="31"/>
      <c r="K69" s="31"/>
      <c r="L69" s="31"/>
      <c r="M69" s="31"/>
      <c r="N69" s="536"/>
    </row>
    <row r="70" spans="1:14" s="370" customFormat="1" ht="15" thickBot="1">
      <c r="A70" s="567"/>
      <c r="B70" s="568"/>
      <c r="C70" s="569"/>
      <c r="D70" s="568"/>
      <c r="E70" s="568"/>
      <c r="F70" s="568"/>
      <c r="G70" s="570"/>
      <c r="H70" s="31"/>
      <c r="I70" s="31"/>
      <c r="J70" s="31"/>
      <c r="K70" s="31"/>
      <c r="L70" s="31"/>
      <c r="M70" s="31"/>
      <c r="N70" s="536"/>
    </row>
    <row r="71" spans="1:14" s="370" customFormat="1">
      <c r="A71" s="31"/>
      <c r="B71" s="31"/>
      <c r="C71" s="32"/>
      <c r="D71" s="31"/>
      <c r="E71" s="31"/>
      <c r="F71" s="31"/>
      <c r="G71" s="31"/>
      <c r="H71" s="31"/>
      <c r="I71" s="31"/>
      <c r="J71" s="31"/>
      <c r="K71" s="31"/>
      <c r="L71" s="31"/>
      <c r="M71" s="31"/>
      <c r="N71" s="536"/>
    </row>
    <row r="72" spans="1:14" s="370" customFormat="1">
      <c r="C72" s="750"/>
    </row>
    <row r="73" spans="1:14" s="370" customFormat="1">
      <c r="C73" s="750"/>
    </row>
    <row r="74" spans="1:14" s="370" customFormat="1">
      <c r="C74" s="750"/>
    </row>
    <row r="75" spans="1:14" s="370" customFormat="1">
      <c r="C75" s="750"/>
    </row>
    <row r="76" spans="1:14" s="370" customFormat="1">
      <c r="C76" s="750"/>
    </row>
    <row r="77" spans="1:14" s="370" customFormat="1">
      <c r="C77" s="750"/>
    </row>
    <row r="78" spans="1:14" s="370" customFormat="1">
      <c r="C78" s="750"/>
    </row>
    <row r="79" spans="1:14" s="370" customFormat="1">
      <c r="C79" s="750"/>
    </row>
    <row r="80" spans="1:14" s="370" customFormat="1">
      <c r="C80" s="750"/>
    </row>
    <row r="81" spans="3:3" s="370" customFormat="1">
      <c r="C81" s="750"/>
    </row>
    <row r="82" spans="3:3" s="370" customFormat="1">
      <c r="C82" s="750"/>
    </row>
    <row r="83" spans="3:3" s="370" customFormat="1">
      <c r="C83" s="750"/>
    </row>
    <row r="84" spans="3:3" s="370" customFormat="1">
      <c r="C84" s="750"/>
    </row>
    <row r="85" spans="3:3" s="370" customFormat="1">
      <c r="C85" s="750"/>
    </row>
    <row r="86" spans="3:3" s="370" customFormat="1">
      <c r="C86" s="750"/>
    </row>
    <row r="87" spans="3:3" s="370" customFormat="1">
      <c r="C87" s="750"/>
    </row>
    <row r="88" spans="3:3" s="370" customFormat="1">
      <c r="C88" s="750"/>
    </row>
    <row r="89" spans="3:3" s="370" customFormat="1">
      <c r="C89" s="750"/>
    </row>
  </sheetData>
  <mergeCells count="17">
    <mergeCell ref="A68:F68"/>
    <mergeCell ref="A69:F69"/>
    <mergeCell ref="A59:E59"/>
    <mergeCell ref="A60:F60"/>
    <mergeCell ref="A64:F64"/>
    <mergeCell ref="A65:F65"/>
    <mergeCell ref="A66:F66"/>
    <mergeCell ref="A50:F50"/>
    <mergeCell ref="A53:F53"/>
    <mergeCell ref="A55:F55"/>
    <mergeCell ref="A56:F56"/>
    <mergeCell ref="A57:F57"/>
    <mergeCell ref="A1:N1"/>
    <mergeCell ref="A41:F41"/>
    <mergeCell ref="A42:F42"/>
    <mergeCell ref="A43:B43"/>
    <mergeCell ref="A49:F49"/>
  </mergeCells>
  <printOptions horizontalCentered="1"/>
  <pageMargins left="0.2" right="0.2" top="0.75" bottom="0.75" header="0.3" footer="0.3"/>
  <pageSetup scale="66" orientation="landscape" r:id="rId1"/>
  <headerFooter>
    <oddHeader xml:space="preserve">&amp;CDRAFT NOT FOR DISTRIBUTION, INTERNAL USE ONLY
</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N79"/>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25.453125" customWidth="1"/>
  </cols>
  <sheetData>
    <row r="1" spans="1:14" ht="15.5">
      <c r="A1" s="854" t="s">
        <v>165</v>
      </c>
      <c r="B1" s="854"/>
      <c r="C1" s="854"/>
      <c r="D1" s="854"/>
      <c r="E1" s="854"/>
      <c r="F1" s="854"/>
      <c r="G1" s="854"/>
      <c r="H1" s="854"/>
      <c r="I1" s="854"/>
      <c r="J1" s="854"/>
      <c r="K1" s="854"/>
      <c r="L1" s="854"/>
      <c r="M1" s="854"/>
      <c r="N1" s="854"/>
    </row>
    <row r="2" spans="1:14" ht="26">
      <c r="A2" s="702" t="s">
        <v>923</v>
      </c>
      <c r="B2" s="370"/>
      <c r="C2" s="639"/>
      <c r="D2" s="370"/>
      <c r="E2" s="370"/>
      <c r="F2" s="370"/>
      <c r="G2" s="370"/>
      <c r="H2" s="370"/>
      <c r="I2" s="370"/>
      <c r="J2" s="370"/>
      <c r="K2" s="370"/>
      <c r="L2" s="370"/>
      <c r="M2" s="370"/>
      <c r="N2" s="370"/>
    </row>
    <row r="3" spans="1:14">
      <c r="A3" s="506" t="s">
        <v>1315</v>
      </c>
      <c r="B3" s="370"/>
      <c r="C3" s="639"/>
      <c r="D3" s="370"/>
      <c r="E3" s="370"/>
      <c r="F3" s="451" t="s">
        <v>210</v>
      </c>
      <c r="G3" s="370"/>
      <c r="H3" s="370"/>
      <c r="I3" s="370"/>
      <c r="J3" s="370"/>
      <c r="K3" s="370"/>
      <c r="L3" s="370"/>
      <c r="M3" s="370"/>
      <c r="N3" s="370"/>
    </row>
    <row r="4" spans="1:14">
      <c r="A4" s="506" t="s">
        <v>811</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568</v>
      </c>
      <c r="B7" s="36" t="s">
        <v>325</v>
      </c>
      <c r="C7" s="37" t="s">
        <v>218</v>
      </c>
      <c r="D7" s="38">
        <v>1</v>
      </c>
      <c r="E7" s="258">
        <v>222</v>
      </c>
      <c r="F7" s="303">
        <f t="shared" ref="F7:F11" si="0">SUM(G7:M7)</f>
        <v>232</v>
      </c>
      <c r="G7" s="304">
        <v>0</v>
      </c>
      <c r="H7" s="304">
        <v>0</v>
      </c>
      <c r="I7" s="304">
        <v>0</v>
      </c>
      <c r="J7" s="304">
        <v>0</v>
      </c>
      <c r="K7" s="304">
        <v>232</v>
      </c>
      <c r="L7" s="304">
        <v>0</v>
      </c>
      <c r="M7" s="305">
        <v>0</v>
      </c>
      <c r="N7" s="157"/>
    </row>
    <row r="8" spans="1:14" s="370" customFormat="1">
      <c r="A8" s="36" t="s">
        <v>960</v>
      </c>
      <c r="B8" s="57" t="s">
        <v>1313</v>
      </c>
      <c r="C8" s="37" t="s">
        <v>218</v>
      </c>
      <c r="D8" s="38">
        <v>1</v>
      </c>
      <c r="E8" s="258">
        <v>93</v>
      </c>
      <c r="F8" s="303">
        <f t="shared" si="0"/>
        <v>97</v>
      </c>
      <c r="G8" s="304">
        <v>0</v>
      </c>
      <c r="H8" s="304">
        <v>0</v>
      </c>
      <c r="I8" s="304">
        <v>0</v>
      </c>
      <c r="J8" s="304">
        <v>0</v>
      </c>
      <c r="K8" s="304">
        <v>97</v>
      </c>
      <c r="L8" s="304">
        <v>0</v>
      </c>
      <c r="M8" s="305">
        <v>0</v>
      </c>
      <c r="N8" s="320"/>
    </row>
    <row r="9" spans="1:14" ht="15" customHeight="1">
      <c r="A9" s="36" t="s">
        <v>1239</v>
      </c>
      <c r="B9" s="259" t="s">
        <v>1237</v>
      </c>
      <c r="C9" s="37" t="s">
        <v>218</v>
      </c>
      <c r="D9" s="39">
        <v>1</v>
      </c>
      <c r="E9" s="258">
        <v>144</v>
      </c>
      <c r="F9" s="303">
        <f t="shared" si="0"/>
        <v>160</v>
      </c>
      <c r="G9" s="304">
        <v>0</v>
      </c>
      <c r="H9" s="304">
        <v>0</v>
      </c>
      <c r="I9" s="304">
        <v>0</v>
      </c>
      <c r="J9" s="304">
        <v>0</v>
      </c>
      <c r="K9" s="304">
        <v>160</v>
      </c>
      <c r="L9" s="304">
        <v>0</v>
      </c>
      <c r="M9" s="305">
        <v>0</v>
      </c>
      <c r="N9" s="609"/>
    </row>
    <row r="10" spans="1:14" ht="15" customHeight="1">
      <c r="A10" s="36" t="s">
        <v>326</v>
      </c>
      <c r="B10" s="259" t="s">
        <v>327</v>
      </c>
      <c r="C10" s="37" t="s">
        <v>218</v>
      </c>
      <c r="D10" s="39">
        <v>1</v>
      </c>
      <c r="E10" s="258">
        <v>54</v>
      </c>
      <c r="F10" s="303">
        <f t="shared" si="0"/>
        <v>58</v>
      </c>
      <c r="G10" s="304">
        <v>0</v>
      </c>
      <c r="H10" s="304">
        <v>0</v>
      </c>
      <c r="I10" s="304">
        <v>0</v>
      </c>
      <c r="J10" s="304">
        <v>58</v>
      </c>
      <c r="K10" s="304">
        <v>0</v>
      </c>
      <c r="L10" s="304">
        <v>0</v>
      </c>
      <c r="M10" s="305">
        <v>0</v>
      </c>
      <c r="N10" s="348"/>
    </row>
    <row r="11" spans="1:14">
      <c r="A11" s="36" t="s">
        <v>328</v>
      </c>
      <c r="B11" s="371" t="s">
        <v>1238</v>
      </c>
      <c r="C11" s="37" t="s">
        <v>218</v>
      </c>
      <c r="D11" s="39">
        <v>0.25</v>
      </c>
      <c r="E11" s="258">
        <v>100</v>
      </c>
      <c r="F11" s="303">
        <f t="shared" si="0"/>
        <v>45</v>
      </c>
      <c r="G11" s="304">
        <v>0</v>
      </c>
      <c r="H11" s="304">
        <v>45</v>
      </c>
      <c r="I11" s="304">
        <v>0</v>
      </c>
      <c r="J11" s="304">
        <v>0</v>
      </c>
      <c r="K11" s="304">
        <v>0</v>
      </c>
      <c r="L11" s="304">
        <f>SUM(44-44)</f>
        <v>0</v>
      </c>
      <c r="M11" s="305">
        <v>0</v>
      </c>
      <c r="N11" s="157"/>
    </row>
    <row r="12" spans="1:14">
      <c r="A12" s="40" t="s">
        <v>219</v>
      </c>
      <c r="B12" s="260"/>
      <c r="C12" s="261"/>
      <c r="D12" s="41">
        <f t="shared" ref="D12:M12" si="1">SUM(D7:D11)</f>
        <v>4.25</v>
      </c>
      <c r="E12" s="42">
        <f t="shared" si="1"/>
        <v>613</v>
      </c>
      <c r="F12" s="43">
        <f t="shared" si="1"/>
        <v>592</v>
      </c>
      <c r="G12" s="43">
        <f t="shared" si="1"/>
        <v>0</v>
      </c>
      <c r="H12" s="43">
        <f t="shared" si="1"/>
        <v>45</v>
      </c>
      <c r="I12" s="43">
        <f t="shared" si="1"/>
        <v>0</v>
      </c>
      <c r="J12" s="43">
        <f t="shared" si="1"/>
        <v>58</v>
      </c>
      <c r="K12" s="43">
        <f t="shared" si="1"/>
        <v>489</v>
      </c>
      <c r="L12" s="43">
        <f t="shared" si="1"/>
        <v>0</v>
      </c>
      <c r="M12" s="43">
        <f t="shared" si="1"/>
        <v>0</v>
      </c>
      <c r="N12" s="348"/>
    </row>
    <row r="13" spans="1:14">
      <c r="A13" s="67" t="s">
        <v>220</v>
      </c>
      <c r="B13" s="68"/>
      <c r="C13" s="69"/>
      <c r="D13" s="68"/>
      <c r="E13" s="68"/>
      <c r="F13" s="70"/>
      <c r="G13" s="70"/>
      <c r="H13" s="70"/>
      <c r="I13" s="70"/>
      <c r="J13" s="70"/>
      <c r="K13" s="70"/>
      <c r="L13" s="70"/>
      <c r="M13" s="70"/>
      <c r="N13" s="70"/>
    </row>
    <row r="14" spans="1:14" ht="58">
      <c r="A14" s="259" t="s">
        <v>1360</v>
      </c>
      <c r="B14" s="259" t="s">
        <v>1361</v>
      </c>
      <c r="C14" s="44">
        <v>253</v>
      </c>
      <c r="D14" s="45"/>
      <c r="E14" s="258">
        <v>0</v>
      </c>
      <c r="F14" s="303">
        <f>SUM(G14:M14)</f>
        <v>185</v>
      </c>
      <c r="G14" s="304">
        <v>0</v>
      </c>
      <c r="H14" s="304">
        <v>0</v>
      </c>
      <c r="I14" s="304">
        <v>0</v>
      </c>
      <c r="J14" s="304">
        <v>0</v>
      </c>
      <c r="K14" s="304">
        <f>90+95</f>
        <v>185</v>
      </c>
      <c r="L14" s="304">
        <v>0</v>
      </c>
      <c r="M14" s="305">
        <v>0</v>
      </c>
      <c r="N14" s="320" t="s">
        <v>1362</v>
      </c>
    </row>
    <row r="15" spans="1:14">
      <c r="A15" s="259" t="s">
        <v>1360</v>
      </c>
      <c r="B15" s="259" t="s">
        <v>1425</v>
      </c>
      <c r="C15" s="44">
        <v>253</v>
      </c>
      <c r="D15" s="45"/>
      <c r="E15" s="258">
        <v>30</v>
      </c>
      <c r="F15" s="303">
        <f>SUM(G15:M15)</f>
        <v>50</v>
      </c>
      <c r="G15" s="304">
        <v>0</v>
      </c>
      <c r="H15" s="304">
        <v>0</v>
      </c>
      <c r="I15" s="304">
        <v>0</v>
      </c>
      <c r="J15" s="304">
        <v>0</v>
      </c>
      <c r="K15" s="304">
        <v>50</v>
      </c>
      <c r="L15" s="304">
        <v>0</v>
      </c>
      <c r="M15" s="305">
        <v>0</v>
      </c>
      <c r="N15" s="318" t="s">
        <v>330</v>
      </c>
    </row>
    <row r="16" spans="1:14">
      <c r="A16" s="259" t="s">
        <v>296</v>
      </c>
      <c r="B16" s="259"/>
      <c r="C16" s="44">
        <v>253</v>
      </c>
      <c r="D16" s="262"/>
      <c r="E16" s="258">
        <v>0</v>
      </c>
      <c r="F16" s="303">
        <f>SUM(G16:M16)</f>
        <v>0</v>
      </c>
      <c r="G16" s="304">
        <v>0</v>
      </c>
      <c r="H16" s="304">
        <v>0</v>
      </c>
      <c r="I16" s="304">
        <v>0</v>
      </c>
      <c r="J16" s="304">
        <v>0</v>
      </c>
      <c r="K16" s="304">
        <v>0</v>
      </c>
      <c r="L16" s="304">
        <v>0</v>
      </c>
      <c r="M16" s="305">
        <v>0</v>
      </c>
      <c r="N16" s="348"/>
    </row>
    <row r="17" spans="1:14">
      <c r="A17" s="40" t="s">
        <v>225</v>
      </c>
      <c r="B17" s="260"/>
      <c r="C17" s="261"/>
      <c r="D17" s="262">
        <f t="shared" ref="D17:M17" si="2">SUM(D14:D16)</f>
        <v>0</v>
      </c>
      <c r="E17" s="42">
        <f>SUM(E14:E16)</f>
        <v>30</v>
      </c>
      <c r="F17" s="43">
        <f t="shared" si="2"/>
        <v>235</v>
      </c>
      <c r="G17" s="43">
        <f t="shared" si="2"/>
        <v>0</v>
      </c>
      <c r="H17" s="43">
        <f t="shared" si="2"/>
        <v>0</v>
      </c>
      <c r="I17" s="43">
        <f t="shared" si="2"/>
        <v>0</v>
      </c>
      <c r="J17" s="43">
        <f t="shared" si="2"/>
        <v>0</v>
      </c>
      <c r="K17" s="43">
        <f t="shared" si="2"/>
        <v>235</v>
      </c>
      <c r="L17" s="43">
        <f t="shared" si="2"/>
        <v>0</v>
      </c>
      <c r="M17" s="43">
        <f t="shared" si="2"/>
        <v>0</v>
      </c>
      <c r="N17" s="348"/>
    </row>
    <row r="18" spans="1:14" s="7" customFormat="1">
      <c r="A18" s="67" t="s">
        <v>226</v>
      </c>
      <c r="B18" s="68"/>
      <c r="C18" s="69"/>
      <c r="D18" s="68"/>
      <c r="E18" s="68"/>
      <c r="F18" s="70"/>
      <c r="G18" s="70"/>
      <c r="H18" s="70"/>
      <c r="I18" s="70"/>
      <c r="J18" s="70"/>
      <c r="K18" s="70"/>
      <c r="L18" s="70"/>
      <c r="M18" s="70"/>
      <c r="N18" s="70"/>
    </row>
    <row r="19" spans="1:14" ht="29">
      <c r="A19" s="259" t="s">
        <v>227</v>
      </c>
      <c r="B19" s="36"/>
      <c r="C19" s="37" t="s">
        <v>228</v>
      </c>
      <c r="D19" s="38">
        <v>0</v>
      </c>
      <c r="E19" s="258">
        <v>34</v>
      </c>
      <c r="F19" s="303">
        <f t="shared" ref="F19:F31" si="3">SUM(G19:M19)</f>
        <v>32</v>
      </c>
      <c r="G19" s="304">
        <v>0</v>
      </c>
      <c r="H19" s="304">
        <v>5</v>
      </c>
      <c r="I19" s="304">
        <v>0</v>
      </c>
      <c r="J19" s="304">
        <f>12-10</f>
        <v>2</v>
      </c>
      <c r="K19" s="304">
        <v>25</v>
      </c>
      <c r="L19" s="304">
        <v>0</v>
      </c>
      <c r="M19" s="305">
        <v>0</v>
      </c>
      <c r="N19" s="318" t="s">
        <v>1240</v>
      </c>
    </row>
    <row r="20" spans="1:14">
      <c r="A20" s="259" t="s">
        <v>229</v>
      </c>
      <c r="B20" s="36"/>
      <c r="C20" s="44" t="s">
        <v>230</v>
      </c>
      <c r="D20" s="45"/>
      <c r="E20" s="258">
        <v>0</v>
      </c>
      <c r="F20" s="303">
        <f t="shared" si="3"/>
        <v>0</v>
      </c>
      <c r="G20" s="304"/>
      <c r="H20" s="304"/>
      <c r="I20" s="304"/>
      <c r="J20" s="304"/>
      <c r="K20" s="304">
        <v>0</v>
      </c>
      <c r="L20" s="304">
        <v>0</v>
      </c>
      <c r="M20" s="305">
        <v>0</v>
      </c>
      <c r="N20" s="348"/>
    </row>
    <row r="21" spans="1:14">
      <c r="A21" s="259" t="s">
        <v>231</v>
      </c>
      <c r="B21" s="36"/>
      <c r="C21" s="44" t="s">
        <v>232</v>
      </c>
      <c r="D21" s="45"/>
      <c r="E21" s="258">
        <v>3</v>
      </c>
      <c r="F21" s="303">
        <f t="shared" si="3"/>
        <v>3</v>
      </c>
      <c r="G21" s="304"/>
      <c r="H21" s="304"/>
      <c r="I21" s="304">
        <v>0</v>
      </c>
      <c r="J21" s="304">
        <v>1</v>
      </c>
      <c r="K21" s="304">
        <v>2</v>
      </c>
      <c r="L21" s="304">
        <v>0</v>
      </c>
      <c r="M21" s="305">
        <v>0</v>
      </c>
      <c r="N21" s="318" t="s">
        <v>329</v>
      </c>
    </row>
    <row r="22" spans="1:14">
      <c r="A22" s="259" t="s">
        <v>233</v>
      </c>
      <c r="B22" s="36"/>
      <c r="C22" s="44" t="s">
        <v>234</v>
      </c>
      <c r="D22" s="45"/>
      <c r="E22" s="258">
        <v>1</v>
      </c>
      <c r="F22" s="303">
        <f t="shared" si="3"/>
        <v>1</v>
      </c>
      <c r="G22" s="304"/>
      <c r="H22" s="304"/>
      <c r="I22" s="304">
        <v>0</v>
      </c>
      <c r="J22" s="304"/>
      <c r="K22" s="304">
        <v>1</v>
      </c>
      <c r="L22" s="304">
        <v>0</v>
      </c>
      <c r="M22" s="305">
        <v>0</v>
      </c>
      <c r="N22" s="348"/>
    </row>
    <row r="23" spans="1:14">
      <c r="A23" s="259" t="s">
        <v>235</v>
      </c>
      <c r="B23" s="36"/>
      <c r="C23" s="44">
        <v>251</v>
      </c>
      <c r="D23" s="45"/>
      <c r="E23" s="258">
        <v>0</v>
      </c>
      <c r="F23" s="303">
        <f t="shared" si="3"/>
        <v>0</v>
      </c>
      <c r="G23" s="304">
        <v>0</v>
      </c>
      <c r="H23" s="304">
        <v>0</v>
      </c>
      <c r="I23" s="304">
        <v>0</v>
      </c>
      <c r="J23" s="304">
        <v>0</v>
      </c>
      <c r="K23" s="304">
        <v>0</v>
      </c>
      <c r="L23" s="304">
        <v>0</v>
      </c>
      <c r="M23" s="305">
        <v>0</v>
      </c>
      <c r="N23" s="318"/>
    </row>
    <row r="24" spans="1:14" ht="26">
      <c r="A24" s="259" t="s">
        <v>243</v>
      </c>
      <c r="B24" s="36"/>
      <c r="C24" s="44">
        <v>252</v>
      </c>
      <c r="D24" s="45"/>
      <c r="E24" s="258">
        <v>7</v>
      </c>
      <c r="F24" s="303">
        <f t="shared" si="3"/>
        <v>7</v>
      </c>
      <c r="G24" s="304"/>
      <c r="H24" s="304">
        <v>0</v>
      </c>
      <c r="I24" s="304">
        <v>0</v>
      </c>
      <c r="J24" s="304">
        <v>1</v>
      </c>
      <c r="K24" s="304">
        <v>6</v>
      </c>
      <c r="L24" s="304">
        <v>0</v>
      </c>
      <c r="M24" s="305">
        <v>0</v>
      </c>
      <c r="N24" s="167" t="s">
        <v>918</v>
      </c>
    </row>
    <row r="25" spans="1:14" ht="29">
      <c r="A25" s="259" t="s">
        <v>318</v>
      </c>
      <c r="B25" s="36"/>
      <c r="C25" s="44">
        <v>252</v>
      </c>
      <c r="D25" s="45"/>
      <c r="E25" s="258">
        <v>10</v>
      </c>
      <c r="F25" s="303">
        <f t="shared" si="3"/>
        <v>10</v>
      </c>
      <c r="G25" s="304">
        <v>0</v>
      </c>
      <c r="H25" s="304">
        <v>3</v>
      </c>
      <c r="I25" s="304">
        <v>0</v>
      </c>
      <c r="J25" s="304">
        <v>0</v>
      </c>
      <c r="K25" s="304">
        <f>5+2</f>
        <v>7</v>
      </c>
      <c r="L25" s="304">
        <v>0</v>
      </c>
      <c r="M25" s="305">
        <v>0</v>
      </c>
      <c r="N25" s="318" t="s">
        <v>1241</v>
      </c>
    </row>
    <row r="26" spans="1:14">
      <c r="A26" s="259" t="s">
        <v>244</v>
      </c>
      <c r="B26" s="36"/>
      <c r="C26" s="44">
        <v>253</v>
      </c>
      <c r="D26" s="259"/>
      <c r="E26" s="258">
        <v>0</v>
      </c>
      <c r="F26" s="303">
        <f t="shared" si="3"/>
        <v>0</v>
      </c>
      <c r="G26" s="304">
        <v>0</v>
      </c>
      <c r="H26" s="304">
        <v>0</v>
      </c>
      <c r="I26" s="304">
        <v>0</v>
      </c>
      <c r="J26" s="304">
        <v>0</v>
      </c>
      <c r="K26" s="304">
        <v>0</v>
      </c>
      <c r="L26" s="304">
        <v>0</v>
      </c>
      <c r="M26" s="305">
        <v>0</v>
      </c>
      <c r="N26" s="167"/>
    </row>
    <row r="27" spans="1:14">
      <c r="A27" s="259" t="s">
        <v>245</v>
      </c>
      <c r="B27" s="36"/>
      <c r="C27" s="44">
        <v>255</v>
      </c>
      <c r="D27" s="259"/>
      <c r="E27" s="258">
        <v>0</v>
      </c>
      <c r="F27" s="303">
        <f t="shared" si="3"/>
        <v>0</v>
      </c>
      <c r="G27" s="304">
        <v>0</v>
      </c>
      <c r="H27" s="304">
        <v>0</v>
      </c>
      <c r="I27" s="304">
        <v>0</v>
      </c>
      <c r="J27" s="304">
        <v>0</v>
      </c>
      <c r="K27" s="304">
        <v>0</v>
      </c>
      <c r="L27" s="304">
        <v>0</v>
      </c>
      <c r="M27" s="305">
        <v>0</v>
      </c>
      <c r="N27" s="348"/>
    </row>
    <row r="28" spans="1:14">
      <c r="A28" s="259" t="s">
        <v>246</v>
      </c>
      <c r="B28" s="36"/>
      <c r="C28" s="44">
        <v>256</v>
      </c>
      <c r="D28" s="259"/>
      <c r="E28" s="258">
        <v>0</v>
      </c>
      <c r="F28" s="303">
        <f t="shared" si="3"/>
        <v>0</v>
      </c>
      <c r="G28" s="304">
        <v>0</v>
      </c>
      <c r="H28" s="304">
        <v>0</v>
      </c>
      <c r="I28" s="304">
        <v>0</v>
      </c>
      <c r="J28" s="304">
        <v>0</v>
      </c>
      <c r="K28" s="304">
        <v>0</v>
      </c>
      <c r="L28" s="304">
        <v>0</v>
      </c>
      <c r="M28" s="305">
        <v>0</v>
      </c>
      <c r="N28" s="348"/>
    </row>
    <row r="29" spans="1:14">
      <c r="A29" s="259" t="s">
        <v>247</v>
      </c>
      <c r="B29" s="36"/>
      <c r="C29" s="44">
        <v>257</v>
      </c>
      <c r="D29" s="259"/>
      <c r="E29" s="258">
        <v>1</v>
      </c>
      <c r="F29" s="303">
        <f t="shared" si="3"/>
        <v>1</v>
      </c>
      <c r="G29" s="304">
        <v>0</v>
      </c>
      <c r="H29" s="304">
        <v>0</v>
      </c>
      <c r="I29" s="304">
        <v>0</v>
      </c>
      <c r="J29" s="304">
        <v>0</v>
      </c>
      <c r="K29" s="304">
        <v>1</v>
      </c>
      <c r="L29" s="304">
        <v>0</v>
      </c>
      <c r="M29" s="305">
        <v>0</v>
      </c>
      <c r="N29" s="318" t="s">
        <v>919</v>
      </c>
    </row>
    <row r="30" spans="1:14">
      <c r="A30" s="259" t="s">
        <v>248</v>
      </c>
      <c r="B30" s="36"/>
      <c r="C30" s="44" t="s">
        <v>249</v>
      </c>
      <c r="D30" s="259"/>
      <c r="E30" s="258">
        <v>5</v>
      </c>
      <c r="F30" s="303">
        <f t="shared" si="3"/>
        <v>5</v>
      </c>
      <c r="G30" s="304">
        <v>0</v>
      </c>
      <c r="H30" s="304">
        <v>0</v>
      </c>
      <c r="I30" s="304">
        <v>0</v>
      </c>
      <c r="J30" s="304">
        <v>0</v>
      </c>
      <c r="K30" s="304">
        <v>5</v>
      </c>
      <c r="L30" s="304">
        <v>0</v>
      </c>
      <c r="M30" s="305">
        <v>0</v>
      </c>
      <c r="N30" s="318" t="s">
        <v>332</v>
      </c>
    </row>
    <row r="31" spans="1:14" s="370" customFormat="1">
      <c r="A31" s="260" t="s">
        <v>250</v>
      </c>
      <c r="B31" s="36"/>
      <c r="C31" s="261" t="s">
        <v>251</v>
      </c>
      <c r="D31" s="260"/>
      <c r="E31" s="258">
        <v>6</v>
      </c>
      <c r="F31" s="303">
        <f t="shared" si="3"/>
        <v>6</v>
      </c>
      <c r="G31" s="304">
        <v>0</v>
      </c>
      <c r="H31" s="304">
        <v>0</v>
      </c>
      <c r="I31" s="304">
        <v>0</v>
      </c>
      <c r="J31" s="304">
        <v>1</v>
      </c>
      <c r="K31" s="304">
        <v>5</v>
      </c>
      <c r="L31" s="304">
        <v>0</v>
      </c>
      <c r="M31" s="305">
        <v>0</v>
      </c>
      <c r="N31" s="318" t="s">
        <v>331</v>
      </c>
    </row>
    <row r="32" spans="1:14" ht="29">
      <c r="A32" s="260" t="s">
        <v>252</v>
      </c>
      <c r="B32" s="36"/>
      <c r="C32" s="37" t="s">
        <v>253</v>
      </c>
      <c r="D32" s="260"/>
      <c r="E32" s="258">
        <v>0</v>
      </c>
      <c r="F32" s="303">
        <f>SUM(G32:M32)</f>
        <v>0</v>
      </c>
      <c r="G32" s="304">
        <v>0</v>
      </c>
      <c r="H32" s="304">
        <v>0</v>
      </c>
      <c r="I32" s="304">
        <v>0</v>
      </c>
      <c r="J32" s="304">
        <v>0</v>
      </c>
      <c r="K32" s="304">
        <f>710-797+87</f>
        <v>0</v>
      </c>
      <c r="L32" s="304">
        <v>0</v>
      </c>
      <c r="M32" s="305">
        <v>0</v>
      </c>
      <c r="N32" s="318" t="s">
        <v>951</v>
      </c>
    </row>
    <row r="33" spans="1:14">
      <c r="A33" s="40" t="s">
        <v>254</v>
      </c>
      <c r="B33" s="260"/>
      <c r="C33" s="261"/>
      <c r="D33" s="262"/>
      <c r="E33" s="42">
        <f>SUM(E19:E32)</f>
        <v>67</v>
      </c>
      <c r="F33" s="43">
        <f t="shared" ref="F33:M33" si="4">SUM(F19:F32)</f>
        <v>65</v>
      </c>
      <c r="G33" s="43">
        <f t="shared" si="4"/>
        <v>0</v>
      </c>
      <c r="H33" s="43">
        <f t="shared" si="4"/>
        <v>8</v>
      </c>
      <c r="I33" s="43">
        <f t="shared" si="4"/>
        <v>0</v>
      </c>
      <c r="J33" s="43">
        <f t="shared" si="4"/>
        <v>5</v>
      </c>
      <c r="K33" s="43">
        <f t="shared" si="4"/>
        <v>52</v>
      </c>
      <c r="L33" s="43">
        <f t="shared" si="4"/>
        <v>0</v>
      </c>
      <c r="M33" s="43">
        <f t="shared" si="4"/>
        <v>0</v>
      </c>
      <c r="N33" s="348"/>
    </row>
    <row r="34" spans="1:14">
      <c r="A34" s="40" t="s">
        <v>255</v>
      </c>
      <c r="B34" s="51"/>
      <c r="C34" s="147"/>
      <c r="D34" s="262"/>
      <c r="E34" s="236">
        <v>0</v>
      </c>
      <c r="F34" s="235">
        <f>SUM(G34:M34)</f>
        <v>106</v>
      </c>
      <c r="G34" s="235"/>
      <c r="H34" s="235"/>
      <c r="I34" s="235"/>
      <c r="J34" s="235"/>
      <c r="K34" s="235">
        <v>106</v>
      </c>
      <c r="L34" s="235"/>
      <c r="M34" s="235"/>
      <c r="N34" s="348"/>
    </row>
    <row r="35" spans="1:14">
      <c r="A35" s="40" t="s">
        <v>256</v>
      </c>
      <c r="B35" s="46"/>
      <c r="C35" s="47"/>
      <c r="D35" s="48">
        <f>D33+D17+D12</f>
        <v>4.25</v>
      </c>
      <c r="E35" s="42">
        <f t="shared" ref="E35:M35" si="5">E33+E17+E12-E34</f>
        <v>710</v>
      </c>
      <c r="F35" s="17">
        <f t="shared" si="5"/>
        <v>786</v>
      </c>
      <c r="G35" s="17">
        <f t="shared" si="5"/>
        <v>0</v>
      </c>
      <c r="H35" s="17">
        <f t="shared" si="5"/>
        <v>53</v>
      </c>
      <c r="I35" s="17">
        <f t="shared" si="5"/>
        <v>0</v>
      </c>
      <c r="J35" s="17">
        <f t="shared" si="5"/>
        <v>63</v>
      </c>
      <c r="K35" s="17">
        <f t="shared" si="5"/>
        <v>670</v>
      </c>
      <c r="L35" s="17">
        <f t="shared" si="5"/>
        <v>0</v>
      </c>
      <c r="M35" s="17">
        <f t="shared" si="5"/>
        <v>0</v>
      </c>
      <c r="N35" s="346"/>
    </row>
    <row r="38" spans="1:14" s="370" customFormat="1" ht="15" thickBot="1">
      <c r="A38" s="31"/>
      <c r="B38" s="31"/>
      <c r="C38" s="32"/>
      <c r="D38" s="31"/>
      <c r="E38" s="31"/>
      <c r="F38" s="31"/>
      <c r="G38" s="31"/>
      <c r="H38" s="31"/>
      <c r="I38" s="31"/>
      <c r="J38" s="31"/>
      <c r="K38" s="31"/>
      <c r="L38" s="31"/>
      <c r="M38" s="31"/>
      <c r="N38" s="536"/>
    </row>
    <row r="39" spans="1:14" s="370" customFormat="1" ht="15.5">
      <c r="A39" s="873" t="s">
        <v>257</v>
      </c>
      <c r="B39" s="874"/>
      <c r="C39" s="874"/>
      <c r="D39" s="874"/>
      <c r="E39" s="874"/>
      <c r="F39" s="874"/>
      <c r="G39" s="550"/>
      <c r="H39" s="31"/>
      <c r="I39" s="31"/>
      <c r="J39" s="31"/>
      <c r="K39" s="31"/>
      <c r="L39" s="31"/>
      <c r="M39" s="31"/>
      <c r="N39" s="536"/>
    </row>
    <row r="40" spans="1:14" s="370" customFormat="1" ht="15.5">
      <c r="A40" s="875"/>
      <c r="B40" s="876"/>
      <c r="C40" s="876"/>
      <c r="D40" s="876"/>
      <c r="E40" s="876"/>
      <c r="F40" s="876"/>
      <c r="G40" s="551"/>
      <c r="H40" s="31"/>
      <c r="I40" s="31"/>
      <c r="J40" s="31"/>
      <c r="K40" s="31"/>
      <c r="L40" s="31"/>
      <c r="M40" s="31"/>
      <c r="N40" s="536"/>
    </row>
    <row r="41" spans="1:14" s="370" customFormat="1">
      <c r="A41" s="877" t="s">
        <v>258</v>
      </c>
      <c r="B41" s="878"/>
      <c r="C41" s="552"/>
      <c r="D41" s="552"/>
      <c r="E41" s="552"/>
      <c r="F41" s="552"/>
      <c r="G41" s="551"/>
      <c r="H41" s="31"/>
      <c r="I41" s="31"/>
      <c r="J41" s="31"/>
      <c r="K41" s="31"/>
      <c r="L41" s="31"/>
      <c r="M41" s="31"/>
      <c r="N41" s="536"/>
    </row>
    <row r="42" spans="1:14" s="370" customFormat="1">
      <c r="A42" s="553" t="s">
        <v>1028</v>
      </c>
      <c r="B42" s="554">
        <f>E35</f>
        <v>710</v>
      </c>
      <c r="C42" s="555"/>
      <c r="D42" s="556"/>
      <c r="E42" s="556"/>
      <c r="F42" s="556"/>
      <c r="G42" s="551"/>
      <c r="H42" s="31"/>
      <c r="I42" s="31"/>
      <c r="J42" s="31"/>
      <c r="K42" s="31"/>
      <c r="L42" s="31"/>
      <c r="M42" s="31"/>
      <c r="N42" s="536"/>
    </row>
    <row r="43" spans="1:14" s="370" customFormat="1">
      <c r="A43" s="557" t="s">
        <v>1029</v>
      </c>
      <c r="B43" s="558">
        <f>F35</f>
        <v>786</v>
      </c>
      <c r="C43" s="555"/>
      <c r="D43" s="556"/>
      <c r="E43" s="556"/>
      <c r="F43" s="556"/>
      <c r="G43" s="551"/>
      <c r="H43" s="31"/>
      <c r="I43" s="31"/>
      <c r="J43" s="31"/>
      <c r="K43" s="31"/>
      <c r="L43" s="31"/>
      <c r="M43" s="31"/>
      <c r="N43" s="536"/>
    </row>
    <row r="44" spans="1:14" s="370" customFormat="1">
      <c r="A44" s="559" t="s">
        <v>259</v>
      </c>
      <c r="B44" s="560">
        <f>B43-B42</f>
        <v>76</v>
      </c>
      <c r="C44" s="555"/>
      <c r="D44" s="556"/>
      <c r="E44" s="556"/>
      <c r="F44" s="556"/>
      <c r="G44" s="551"/>
      <c r="H44" s="31"/>
      <c r="I44" s="31"/>
      <c r="J44" s="31"/>
      <c r="K44" s="31"/>
      <c r="L44" s="31"/>
      <c r="M44" s="31"/>
      <c r="N44" s="536"/>
    </row>
    <row r="45" spans="1:14" s="370" customFormat="1">
      <c r="A45" s="559" t="s">
        <v>260</v>
      </c>
      <c r="B45" s="561">
        <f>B44/B42</f>
        <v>0.10704225352112676</v>
      </c>
      <c r="C45" s="555"/>
      <c r="D45" s="556"/>
      <c r="E45" s="556"/>
      <c r="F45" s="556"/>
      <c r="G45" s="551"/>
      <c r="H45" s="31"/>
      <c r="I45" s="31"/>
      <c r="J45" s="31"/>
      <c r="K45" s="31"/>
      <c r="L45" s="31"/>
      <c r="M45" s="31"/>
      <c r="N45" s="536"/>
    </row>
    <row r="46" spans="1:14" s="370" customFormat="1">
      <c r="A46" s="562"/>
      <c r="B46" s="556"/>
      <c r="C46" s="638"/>
      <c r="D46" s="556"/>
      <c r="E46" s="556"/>
      <c r="F46" s="556"/>
      <c r="G46" s="551"/>
      <c r="H46" s="31"/>
      <c r="I46" s="31"/>
      <c r="J46" s="31"/>
      <c r="K46" s="31"/>
      <c r="L46" s="31"/>
      <c r="M46" s="31"/>
      <c r="N46" s="536"/>
    </row>
    <row r="47" spans="1:14" s="370" customFormat="1">
      <c r="A47" s="879" t="s">
        <v>261</v>
      </c>
      <c r="B47" s="880"/>
      <c r="C47" s="880"/>
      <c r="D47" s="880"/>
      <c r="E47" s="880"/>
      <c r="F47" s="880"/>
      <c r="G47" s="551"/>
      <c r="H47" s="31"/>
      <c r="I47" s="31"/>
      <c r="J47" s="31"/>
      <c r="K47" s="31"/>
      <c r="L47" s="31"/>
      <c r="M47" s="31"/>
      <c r="N47" s="536"/>
    </row>
    <row r="48" spans="1:14" s="370" customFormat="1" ht="111" customHeight="1">
      <c r="A48" s="881" t="s">
        <v>333</v>
      </c>
      <c r="B48" s="882"/>
      <c r="C48" s="882"/>
      <c r="D48" s="882"/>
      <c r="E48" s="882"/>
      <c r="F48" s="883"/>
      <c r="G48" s="551"/>
      <c r="H48" s="31"/>
      <c r="I48" s="31"/>
      <c r="J48" s="31"/>
      <c r="K48" s="31"/>
      <c r="L48" s="31"/>
      <c r="M48" s="31"/>
      <c r="N48" s="536"/>
    </row>
    <row r="49" spans="1:14" s="370" customFormat="1">
      <c r="A49" s="563"/>
      <c r="B49" s="564"/>
      <c r="C49" s="564"/>
      <c r="D49" s="564"/>
      <c r="E49" s="564"/>
      <c r="F49" s="564"/>
      <c r="G49" s="551"/>
      <c r="H49" s="31"/>
      <c r="I49" s="31"/>
      <c r="J49" s="31"/>
      <c r="K49" s="31"/>
      <c r="L49" s="31"/>
      <c r="M49" s="31"/>
      <c r="N49" s="536"/>
    </row>
    <row r="50" spans="1:14" s="370" customFormat="1">
      <c r="A50" s="565" t="s">
        <v>262</v>
      </c>
      <c r="B50" s="556"/>
      <c r="C50" s="726"/>
      <c r="D50" s="556"/>
      <c r="E50" s="556"/>
      <c r="F50" s="556"/>
      <c r="G50" s="551"/>
      <c r="H50" s="31"/>
      <c r="I50" s="31"/>
      <c r="J50" s="31"/>
      <c r="K50" s="31"/>
      <c r="L50" s="31"/>
      <c r="M50" s="31"/>
      <c r="N50" s="536"/>
    </row>
    <row r="51" spans="1:14" s="370" customFormat="1" ht="45.75" customHeight="1">
      <c r="A51" s="881" t="s">
        <v>920</v>
      </c>
      <c r="B51" s="882"/>
      <c r="C51" s="882"/>
      <c r="D51" s="882"/>
      <c r="E51" s="882"/>
      <c r="F51" s="883"/>
      <c r="G51" s="551"/>
      <c r="H51" s="31"/>
      <c r="I51" s="31"/>
      <c r="J51" s="31"/>
      <c r="K51" s="31"/>
      <c r="L51" s="31"/>
      <c r="M51" s="31"/>
      <c r="N51" s="536"/>
    </row>
    <row r="52" spans="1:14" s="370" customFormat="1">
      <c r="A52" s="562"/>
      <c r="B52" s="556"/>
      <c r="C52" s="726"/>
      <c r="D52" s="556"/>
      <c r="E52" s="556"/>
      <c r="F52" s="556"/>
      <c r="G52" s="551"/>
      <c r="H52" s="31"/>
      <c r="I52" s="31"/>
      <c r="J52" s="31"/>
      <c r="K52" s="31"/>
      <c r="L52" s="31"/>
      <c r="M52" s="31"/>
      <c r="N52" s="536"/>
    </row>
    <row r="53" spans="1:14" s="370" customFormat="1">
      <c r="A53" s="879" t="s">
        <v>1020</v>
      </c>
      <c r="B53" s="880"/>
      <c r="C53" s="880"/>
      <c r="D53" s="880"/>
      <c r="E53" s="880"/>
      <c r="F53" s="880"/>
      <c r="G53" s="551"/>
      <c r="H53" s="31"/>
      <c r="I53" s="31"/>
      <c r="J53" s="31"/>
      <c r="K53" s="31"/>
      <c r="L53" s="31"/>
      <c r="M53" s="31"/>
      <c r="N53" s="536"/>
    </row>
    <row r="54" spans="1:14" s="370" customFormat="1">
      <c r="A54" s="898" t="s">
        <v>1021</v>
      </c>
      <c r="B54" s="899"/>
      <c r="C54" s="899"/>
      <c r="D54" s="899"/>
      <c r="E54" s="899"/>
      <c r="F54" s="899"/>
      <c r="G54" s="551"/>
      <c r="H54" s="31"/>
      <c r="I54" s="31"/>
      <c r="J54" s="31"/>
      <c r="K54" s="31"/>
      <c r="L54" s="31"/>
      <c r="M54" s="31"/>
      <c r="N54" s="536"/>
    </row>
    <row r="55" spans="1:14" s="370" customFormat="1" ht="63" customHeight="1">
      <c r="A55" s="881" t="s">
        <v>921</v>
      </c>
      <c r="B55" s="885"/>
      <c r="C55" s="885"/>
      <c r="D55" s="885"/>
      <c r="E55" s="885"/>
      <c r="F55" s="886"/>
      <c r="G55" s="551"/>
      <c r="H55" s="31"/>
      <c r="I55" s="31"/>
      <c r="J55" s="31"/>
      <c r="K55" s="31"/>
      <c r="L55" s="31"/>
      <c r="M55" s="31"/>
      <c r="N55" s="536"/>
    </row>
    <row r="56" spans="1:14" s="370" customFormat="1">
      <c r="A56" s="565"/>
      <c r="B56" s="556"/>
      <c r="C56" s="726"/>
      <c r="D56" s="556"/>
      <c r="E56" s="556"/>
      <c r="F56" s="556"/>
      <c r="G56" s="551"/>
      <c r="H56" s="31"/>
      <c r="I56" s="31"/>
      <c r="J56" s="31"/>
      <c r="K56" s="31"/>
      <c r="L56" s="31"/>
      <c r="M56" s="31"/>
      <c r="N56" s="536"/>
    </row>
    <row r="57" spans="1:14" s="370" customFormat="1">
      <c r="A57" s="879" t="s">
        <v>264</v>
      </c>
      <c r="B57" s="880"/>
      <c r="C57" s="880"/>
      <c r="D57" s="880"/>
      <c r="E57" s="880"/>
      <c r="F57" s="556"/>
      <c r="G57" s="551"/>
      <c r="H57" s="31"/>
      <c r="I57" s="31"/>
      <c r="J57" s="31"/>
      <c r="K57" s="31"/>
      <c r="L57" s="31"/>
      <c r="M57" s="31"/>
      <c r="N57" s="536"/>
    </row>
    <row r="58" spans="1:14" s="370" customFormat="1" ht="32" customHeight="1">
      <c r="A58" s="900" t="s">
        <v>334</v>
      </c>
      <c r="B58" s="890"/>
      <c r="C58" s="890"/>
      <c r="D58" s="890"/>
      <c r="E58" s="890"/>
      <c r="F58" s="891"/>
      <c r="G58" s="551"/>
      <c r="H58" s="31"/>
      <c r="I58" s="31"/>
      <c r="J58" s="31"/>
      <c r="K58" s="31"/>
      <c r="L58" s="31"/>
      <c r="M58" s="31"/>
      <c r="N58" s="536"/>
    </row>
    <row r="59" spans="1:14" s="370" customFormat="1">
      <c r="A59" s="562"/>
      <c r="B59" s="556"/>
      <c r="C59" s="726"/>
      <c r="D59" s="556"/>
      <c r="E59" s="556"/>
      <c r="F59" s="556"/>
      <c r="G59" s="551"/>
      <c r="H59" s="31"/>
      <c r="I59" s="31"/>
      <c r="J59" s="31"/>
      <c r="K59" s="31"/>
      <c r="L59" s="31"/>
      <c r="M59" s="31"/>
      <c r="N59" s="536"/>
    </row>
    <row r="60" spans="1:14" s="370" customFormat="1">
      <c r="A60" s="565" t="s">
        <v>265</v>
      </c>
      <c r="B60" s="556"/>
      <c r="C60" s="726"/>
      <c r="D60" s="556"/>
      <c r="E60" s="556"/>
      <c r="F60" s="556"/>
      <c r="G60" s="551"/>
      <c r="H60" s="31"/>
      <c r="I60" s="31"/>
      <c r="J60" s="31"/>
      <c r="K60" s="31"/>
      <c r="L60" s="31"/>
      <c r="M60" s="31"/>
      <c r="N60" s="536"/>
    </row>
    <row r="61" spans="1:14" s="370" customFormat="1">
      <c r="A61" s="566" t="s">
        <v>266</v>
      </c>
      <c r="B61" s="556"/>
      <c r="C61" s="726"/>
      <c r="D61" s="556"/>
      <c r="E61" s="556"/>
      <c r="F61" s="556"/>
      <c r="G61" s="551"/>
      <c r="H61" s="31"/>
      <c r="I61" s="31"/>
      <c r="J61" s="31"/>
      <c r="K61" s="31"/>
      <c r="L61" s="31"/>
      <c r="M61" s="31"/>
      <c r="N61" s="536"/>
    </row>
    <row r="62" spans="1:14" s="370" customFormat="1" ht="26.25" customHeight="1">
      <c r="A62" s="892" t="s">
        <v>1030</v>
      </c>
      <c r="B62" s="893"/>
      <c r="C62" s="893"/>
      <c r="D62" s="893"/>
      <c r="E62" s="893"/>
      <c r="F62" s="893"/>
      <c r="G62" s="551"/>
      <c r="H62" s="31"/>
      <c r="I62" s="31"/>
      <c r="J62" s="31"/>
      <c r="K62" s="31"/>
      <c r="L62" s="31"/>
      <c r="M62" s="31"/>
      <c r="N62" s="536"/>
    </row>
    <row r="63" spans="1:14" s="370" customFormat="1" ht="51" customHeight="1">
      <c r="A63" s="881" t="s">
        <v>1314</v>
      </c>
      <c r="B63" s="904"/>
      <c r="C63" s="904"/>
      <c r="D63" s="904"/>
      <c r="E63" s="904"/>
      <c r="F63" s="905"/>
      <c r="G63" s="551"/>
      <c r="H63" s="31"/>
      <c r="I63" s="31"/>
      <c r="J63" s="31"/>
      <c r="K63" s="31"/>
      <c r="L63" s="31"/>
      <c r="M63" s="31"/>
      <c r="N63" s="536"/>
    </row>
    <row r="64" spans="1:14" s="370" customFormat="1">
      <c r="A64" s="894"/>
      <c r="B64" s="895"/>
      <c r="C64" s="895"/>
      <c r="D64" s="895"/>
      <c r="E64" s="895"/>
      <c r="F64" s="895"/>
      <c r="G64" s="551"/>
      <c r="H64" s="31"/>
      <c r="I64" s="31"/>
      <c r="J64" s="31"/>
      <c r="K64" s="31"/>
      <c r="L64" s="31"/>
      <c r="M64" s="31"/>
      <c r="N64" s="536"/>
    </row>
    <row r="65" spans="1:14" s="370" customFormat="1">
      <c r="A65" s="566" t="s">
        <v>268</v>
      </c>
      <c r="B65" s="556"/>
      <c r="C65" s="726"/>
      <c r="D65" s="556"/>
      <c r="E65" s="556"/>
      <c r="F65" s="556"/>
      <c r="G65" s="551"/>
      <c r="H65" s="31"/>
      <c r="I65" s="31"/>
      <c r="J65" s="31"/>
      <c r="K65" s="31"/>
      <c r="L65" s="31"/>
      <c r="M65" s="31"/>
      <c r="N65" s="536"/>
    </row>
    <row r="66" spans="1:14" s="370" customFormat="1" ht="28.75" customHeight="1">
      <c r="A66" s="896" t="s">
        <v>269</v>
      </c>
      <c r="B66" s="897"/>
      <c r="C66" s="897"/>
      <c r="D66" s="897"/>
      <c r="E66" s="897"/>
      <c r="F66" s="897"/>
      <c r="G66" s="551"/>
      <c r="H66" s="31"/>
      <c r="I66" s="31"/>
      <c r="J66" s="31"/>
      <c r="K66" s="31"/>
      <c r="L66" s="31"/>
      <c r="M66" s="31"/>
      <c r="N66" s="536"/>
    </row>
    <row r="67" spans="1:14" s="370" customFormat="1" ht="30.75" customHeight="1">
      <c r="A67" s="889"/>
      <c r="B67" s="890"/>
      <c r="C67" s="890"/>
      <c r="D67" s="890"/>
      <c r="E67" s="890"/>
      <c r="F67" s="891"/>
      <c r="G67" s="551"/>
      <c r="H67" s="31"/>
      <c r="I67" s="31"/>
      <c r="J67" s="31"/>
      <c r="K67" s="31"/>
      <c r="L67" s="31"/>
      <c r="M67" s="31"/>
      <c r="N67" s="536"/>
    </row>
    <row r="68" spans="1:14" s="370" customFormat="1" ht="15" thickBot="1">
      <c r="A68" s="567"/>
      <c r="B68" s="568"/>
      <c r="C68" s="569"/>
      <c r="D68" s="568"/>
      <c r="E68" s="568"/>
      <c r="F68" s="568"/>
      <c r="G68" s="570"/>
      <c r="H68" s="31"/>
      <c r="I68" s="31"/>
      <c r="J68" s="31"/>
      <c r="K68" s="31"/>
      <c r="L68" s="31"/>
      <c r="M68" s="31"/>
      <c r="N68" s="536"/>
    </row>
    <row r="69" spans="1:14" s="370" customFormat="1">
      <c r="A69" s="31"/>
      <c r="B69" s="31"/>
      <c r="C69" s="32"/>
      <c r="D69" s="31"/>
      <c r="E69" s="31"/>
      <c r="F69" s="31"/>
      <c r="G69" s="31"/>
      <c r="H69" s="31"/>
      <c r="I69" s="31"/>
      <c r="J69" s="31"/>
      <c r="K69" s="31"/>
      <c r="L69" s="31"/>
      <c r="M69" s="31"/>
      <c r="N69" s="536"/>
    </row>
    <row r="70" spans="1:14" s="370" customFormat="1">
      <c r="A70" s="31"/>
      <c r="B70" s="31"/>
      <c r="C70" s="32"/>
      <c r="D70" s="31"/>
      <c r="E70" s="31"/>
      <c r="F70" s="31"/>
      <c r="G70" s="31"/>
      <c r="H70" s="31"/>
      <c r="I70" s="31"/>
      <c r="J70" s="31"/>
      <c r="K70" s="31"/>
      <c r="L70" s="31"/>
      <c r="M70" s="31"/>
      <c r="N70" s="536"/>
    </row>
    <row r="71" spans="1:14" s="370" customFormat="1">
      <c r="A71" s="31"/>
      <c r="B71" s="31"/>
      <c r="C71" s="32"/>
      <c r="D71" s="31"/>
      <c r="E71" s="31"/>
      <c r="F71" s="31"/>
      <c r="G71" s="31"/>
      <c r="H71" s="31"/>
      <c r="I71" s="31"/>
      <c r="J71" s="31"/>
      <c r="K71" s="31"/>
      <c r="L71" s="31"/>
      <c r="M71" s="31"/>
      <c r="N71" s="536"/>
    </row>
    <row r="72" spans="1:14" s="370" customFormat="1">
      <c r="A72" s="31"/>
      <c r="B72" s="31"/>
      <c r="C72" s="32"/>
      <c r="D72" s="31"/>
      <c r="E72" s="31"/>
      <c r="F72" s="31"/>
      <c r="G72" s="31"/>
      <c r="H72" s="31"/>
      <c r="I72" s="31"/>
      <c r="J72" s="31"/>
      <c r="K72" s="31"/>
      <c r="L72" s="31"/>
      <c r="M72" s="31"/>
      <c r="N72" s="536"/>
    </row>
    <row r="73" spans="1:14" s="370" customFormat="1">
      <c r="A73" s="31"/>
      <c r="B73" s="31"/>
      <c r="C73" s="32"/>
      <c r="D73" s="31"/>
      <c r="E73" s="31"/>
      <c r="F73" s="31"/>
      <c r="G73" s="31"/>
      <c r="H73" s="31"/>
      <c r="I73" s="31"/>
      <c r="J73" s="31"/>
      <c r="K73" s="31"/>
      <c r="L73" s="31"/>
      <c r="M73" s="31"/>
      <c r="N73" s="536"/>
    </row>
    <row r="74" spans="1:14" s="370" customFormat="1">
      <c r="A74" s="31"/>
      <c r="B74" s="31"/>
      <c r="C74" s="32"/>
      <c r="D74" s="31"/>
      <c r="E74" s="31"/>
      <c r="F74" s="31"/>
      <c r="G74" s="31"/>
      <c r="H74" s="31"/>
      <c r="I74" s="31"/>
      <c r="J74" s="31"/>
      <c r="K74" s="31"/>
      <c r="L74" s="31"/>
      <c r="M74" s="31"/>
      <c r="N74" s="536"/>
    </row>
    <row r="75" spans="1:14" s="370" customFormat="1">
      <c r="A75" s="31"/>
      <c r="B75" s="31"/>
      <c r="C75" s="32"/>
      <c r="D75" s="31"/>
      <c r="E75" s="31"/>
      <c r="F75" s="31"/>
      <c r="G75" s="31"/>
      <c r="H75" s="31"/>
      <c r="I75" s="31"/>
      <c r="J75" s="31"/>
      <c r="K75" s="31"/>
      <c r="L75" s="31"/>
      <c r="M75" s="31"/>
      <c r="N75" s="536"/>
    </row>
    <row r="76" spans="1:14" s="370" customFormat="1">
      <c r="A76" s="31"/>
      <c r="B76" s="31"/>
      <c r="C76" s="32"/>
      <c r="D76" s="31"/>
      <c r="E76" s="31"/>
      <c r="F76" s="31"/>
      <c r="G76" s="31"/>
      <c r="H76" s="31"/>
      <c r="I76" s="31"/>
      <c r="J76" s="31"/>
      <c r="K76" s="31"/>
      <c r="L76" s="31"/>
      <c r="M76" s="31"/>
      <c r="N76" s="536"/>
    </row>
    <row r="77" spans="1:14" s="370" customFormat="1">
      <c r="A77" s="31"/>
      <c r="B77" s="31"/>
      <c r="C77" s="32"/>
      <c r="D77" s="31"/>
      <c r="E77" s="31"/>
      <c r="F77" s="31"/>
      <c r="G77" s="31"/>
      <c r="H77" s="31"/>
      <c r="I77" s="31"/>
      <c r="J77" s="31"/>
      <c r="K77" s="31"/>
      <c r="L77" s="31"/>
      <c r="M77" s="31"/>
      <c r="N77" s="536"/>
    </row>
    <row r="78" spans="1:14" s="370" customFormat="1">
      <c r="A78" s="31"/>
      <c r="B78" s="31"/>
      <c r="C78" s="32"/>
      <c r="D78" s="31"/>
      <c r="E78" s="31"/>
      <c r="F78" s="31"/>
      <c r="G78" s="31"/>
      <c r="H78" s="31"/>
      <c r="I78" s="31"/>
      <c r="J78" s="31"/>
      <c r="K78" s="31"/>
      <c r="L78" s="31"/>
      <c r="M78" s="31"/>
      <c r="N78" s="536"/>
    </row>
    <row r="79" spans="1:14" s="370" customFormat="1">
      <c r="A79" s="31"/>
      <c r="B79" s="31"/>
      <c r="C79" s="32"/>
      <c r="D79" s="31"/>
      <c r="E79" s="31"/>
      <c r="F79" s="31"/>
      <c r="G79" s="31"/>
      <c r="H79" s="31"/>
      <c r="I79" s="31"/>
      <c r="J79" s="31"/>
      <c r="K79" s="31"/>
      <c r="L79" s="31"/>
      <c r="M79" s="31"/>
      <c r="N79" s="536"/>
    </row>
  </sheetData>
  <mergeCells count="17">
    <mergeCell ref="A66:F66"/>
    <mergeCell ref="A67:F67"/>
    <mergeCell ref="A57:E57"/>
    <mergeCell ref="A58:F58"/>
    <mergeCell ref="A62:F62"/>
    <mergeCell ref="A63:F63"/>
    <mergeCell ref="A64:F64"/>
    <mergeCell ref="A48:F48"/>
    <mergeCell ref="A51:F51"/>
    <mergeCell ref="A53:F53"/>
    <mergeCell ref="A54:F54"/>
    <mergeCell ref="A55:F55"/>
    <mergeCell ref="A1:N1"/>
    <mergeCell ref="A39:F39"/>
    <mergeCell ref="A40:F40"/>
    <mergeCell ref="A41:B41"/>
    <mergeCell ref="A47:F47"/>
  </mergeCells>
  <printOptions horizontalCentered="1"/>
  <pageMargins left="0.2" right="0.2" top="0.75" bottom="0.75" header="0.3" footer="0.3"/>
  <pageSetup scale="75" fitToHeight="0" orientation="landscape" r:id="rId1"/>
  <headerFooter>
    <oddHeader xml:space="preserve">&amp;CDRAFT NOT FOR DISTRIBUTION, INTERNAL USE ONLY
</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0E53-28B4-4F80-AFEF-53C5B3592A83}">
  <sheetPr>
    <tabColor rgb="FFFF0000"/>
  </sheetPr>
  <dimension ref="A1:N100"/>
  <sheetViews>
    <sheetView workbookViewId="0">
      <selection sqref="A1:N1"/>
    </sheetView>
  </sheetViews>
  <sheetFormatPr defaultRowHeight="14.5"/>
  <cols>
    <col min="1" max="1" width="39.54296875" style="370" customWidth="1"/>
    <col min="2" max="2" width="16" style="370" customWidth="1"/>
    <col min="3" max="3" width="7.81640625" style="758" customWidth="1"/>
    <col min="4" max="4" width="8.7265625" style="370"/>
    <col min="5" max="5" width="10.81640625" style="370" customWidth="1"/>
    <col min="6" max="6" width="11" style="370" customWidth="1"/>
    <col min="7" max="7" width="9.54296875" style="370" customWidth="1"/>
    <col min="8" max="8" width="8.453125" style="370" customWidth="1"/>
    <col min="9" max="10" width="7.1796875" style="370" customWidth="1"/>
    <col min="11" max="11" width="7.81640625" style="370" customWidth="1"/>
    <col min="12" max="12" width="9.81640625" style="370" customWidth="1"/>
    <col min="13" max="13" width="9.1796875" style="370" customWidth="1"/>
    <col min="14" max="14" width="25.453125" style="370" customWidth="1"/>
    <col min="15" max="16384" width="8.7265625" style="370"/>
  </cols>
  <sheetData>
    <row r="1" spans="1:14" ht="15.5">
      <c r="A1" s="854" t="s">
        <v>165</v>
      </c>
      <c r="B1" s="854"/>
      <c r="C1" s="854"/>
      <c r="D1" s="854"/>
      <c r="E1" s="854"/>
      <c r="F1" s="854"/>
      <c r="G1" s="854"/>
      <c r="H1" s="854"/>
      <c r="I1" s="854"/>
      <c r="J1" s="854"/>
      <c r="K1" s="854"/>
      <c r="L1" s="854"/>
      <c r="M1" s="854"/>
      <c r="N1" s="854"/>
    </row>
    <row r="2" spans="1:14" ht="26">
      <c r="A2" s="702" t="s">
        <v>1328</v>
      </c>
    </row>
    <row r="3" spans="1:14" ht="26">
      <c r="A3" s="506" t="s">
        <v>1351</v>
      </c>
      <c r="F3" s="451" t="s">
        <v>210</v>
      </c>
    </row>
    <row r="4" spans="1:14">
      <c r="A4" s="506" t="s">
        <v>811</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26.5">
      <c r="A7" s="57" t="s">
        <v>957</v>
      </c>
      <c r="B7" s="57" t="s">
        <v>1342</v>
      </c>
      <c r="C7" s="607" t="s">
        <v>218</v>
      </c>
      <c r="D7" s="38">
        <v>1</v>
      </c>
      <c r="E7" s="258">
        <v>131.25</v>
      </c>
      <c r="F7" s="303">
        <f>SUM(G7:M7)</f>
        <v>168</v>
      </c>
      <c r="G7" s="304">
        <v>0</v>
      </c>
      <c r="H7" s="304">
        <v>0</v>
      </c>
      <c r="I7" s="304">
        <v>0</v>
      </c>
      <c r="J7" s="304">
        <v>0</v>
      </c>
      <c r="K7" s="304">
        <v>168</v>
      </c>
      <c r="L7" s="304">
        <v>0</v>
      </c>
      <c r="M7" s="305">
        <v>0</v>
      </c>
      <c r="N7" s="157" t="s">
        <v>1329</v>
      </c>
    </row>
    <row r="8" spans="1:14">
      <c r="A8" s="57" t="s">
        <v>1343</v>
      </c>
      <c r="B8" s="57" t="s">
        <v>538</v>
      </c>
      <c r="C8" s="607" t="s">
        <v>218</v>
      </c>
      <c r="D8" s="38">
        <v>1</v>
      </c>
      <c r="E8" s="258">
        <v>150</v>
      </c>
      <c r="F8" s="303">
        <f>SUM(G8:M8)</f>
        <v>190</v>
      </c>
      <c r="G8" s="304">
        <v>190</v>
      </c>
      <c r="H8" s="304">
        <v>0</v>
      </c>
      <c r="I8" s="304">
        <v>0</v>
      </c>
      <c r="J8" s="304">
        <v>0</v>
      </c>
      <c r="K8" s="304">
        <v>0</v>
      </c>
      <c r="L8" s="304">
        <v>0</v>
      </c>
      <c r="M8" s="305">
        <v>0</v>
      </c>
      <c r="N8" s="157" t="s">
        <v>1377</v>
      </c>
    </row>
    <row r="9" spans="1:14">
      <c r="A9" s="57" t="s">
        <v>1344</v>
      </c>
      <c r="B9" s="57" t="s">
        <v>538</v>
      </c>
      <c r="C9" s="607" t="s">
        <v>218</v>
      </c>
      <c r="D9" s="38">
        <v>1</v>
      </c>
      <c r="E9" s="258">
        <v>105</v>
      </c>
      <c r="F9" s="303">
        <f t="shared" ref="F9:F14" si="0">SUM(G9:M9)</f>
        <v>190</v>
      </c>
      <c r="G9" s="304">
        <v>190</v>
      </c>
      <c r="H9" s="304">
        <v>0</v>
      </c>
      <c r="I9" s="304">
        <v>0</v>
      </c>
      <c r="J9" s="304">
        <v>0</v>
      </c>
      <c r="K9" s="304">
        <v>0</v>
      </c>
      <c r="L9" s="304">
        <v>0</v>
      </c>
      <c r="M9" s="305">
        <v>0</v>
      </c>
      <c r="N9" s="318" t="s">
        <v>1378</v>
      </c>
    </row>
    <row r="10" spans="1:14" ht="15" customHeight="1">
      <c r="A10" s="57" t="s">
        <v>958</v>
      </c>
      <c r="B10" s="530" t="s">
        <v>1345</v>
      </c>
      <c r="C10" s="607" t="s">
        <v>218</v>
      </c>
      <c r="D10" s="39">
        <v>1</v>
      </c>
      <c r="E10" s="258">
        <v>112.5</v>
      </c>
      <c r="F10" s="303">
        <f t="shared" si="0"/>
        <v>155</v>
      </c>
      <c r="G10" s="304">
        <v>0</v>
      </c>
      <c r="H10" s="304">
        <v>155</v>
      </c>
      <c r="I10" s="304">
        <v>0</v>
      </c>
      <c r="J10" s="304">
        <v>0</v>
      </c>
      <c r="K10" s="304">
        <v>0</v>
      </c>
      <c r="L10" s="304">
        <v>0</v>
      </c>
      <c r="M10" s="305">
        <v>0</v>
      </c>
      <c r="N10" s="609" t="s">
        <v>1377</v>
      </c>
    </row>
    <row r="11" spans="1:14" ht="46" customHeight="1">
      <c r="A11" s="36" t="s">
        <v>958</v>
      </c>
      <c r="B11" s="259" t="s">
        <v>538</v>
      </c>
      <c r="C11" s="607" t="s">
        <v>218</v>
      </c>
      <c r="D11" s="39">
        <v>0.5</v>
      </c>
      <c r="E11" s="258">
        <v>0</v>
      </c>
      <c r="F11" s="303">
        <f t="shared" ref="F11" si="1">SUM(G11:M11)</f>
        <v>75</v>
      </c>
      <c r="G11" s="304">
        <v>0</v>
      </c>
      <c r="H11" s="304">
        <v>75</v>
      </c>
      <c r="I11" s="304">
        <v>0</v>
      </c>
      <c r="J11" s="304">
        <v>0</v>
      </c>
      <c r="K11" s="304">
        <v>0</v>
      </c>
      <c r="L11" s="304">
        <v>0</v>
      </c>
      <c r="M11" s="305">
        <v>0</v>
      </c>
      <c r="N11" s="823" t="s">
        <v>1432</v>
      </c>
    </row>
    <row r="12" spans="1:14" ht="15" customHeight="1">
      <c r="A12" s="57" t="s">
        <v>959</v>
      </c>
      <c r="B12" s="530" t="s">
        <v>1346</v>
      </c>
      <c r="C12" s="607" t="s">
        <v>218</v>
      </c>
      <c r="D12" s="39">
        <v>1</v>
      </c>
      <c r="E12" s="258">
        <v>112.5</v>
      </c>
      <c r="F12" s="303">
        <f t="shared" si="0"/>
        <v>107</v>
      </c>
      <c r="G12" s="304">
        <v>0</v>
      </c>
      <c r="H12" s="304">
        <v>0</v>
      </c>
      <c r="I12" s="304">
        <v>107</v>
      </c>
      <c r="J12" s="304">
        <v>0</v>
      </c>
      <c r="K12" s="304">
        <v>0</v>
      </c>
      <c r="L12" s="304">
        <v>0</v>
      </c>
      <c r="M12" s="305">
        <v>0</v>
      </c>
      <c r="N12" s="348" t="s">
        <v>1377</v>
      </c>
    </row>
    <row r="13" spans="1:14">
      <c r="A13" s="57" t="s">
        <v>1343</v>
      </c>
      <c r="B13" s="167" t="s">
        <v>1347</v>
      </c>
      <c r="C13" s="607" t="s">
        <v>218</v>
      </c>
      <c r="D13" s="39">
        <v>1</v>
      </c>
      <c r="E13" s="258">
        <v>112.5</v>
      </c>
      <c r="F13" s="303">
        <f t="shared" si="0"/>
        <v>210</v>
      </c>
      <c r="G13" s="304">
        <v>0</v>
      </c>
      <c r="H13" s="304">
        <v>0</v>
      </c>
      <c r="I13" s="304">
        <v>0</v>
      </c>
      <c r="J13" s="304">
        <v>210</v>
      </c>
      <c r="K13" s="304">
        <v>0</v>
      </c>
      <c r="L13" s="304">
        <f>SUM(44-44)</f>
        <v>0</v>
      </c>
      <c r="M13" s="305">
        <v>0</v>
      </c>
      <c r="N13" s="318" t="s">
        <v>1378</v>
      </c>
    </row>
    <row r="14" spans="1:14" ht="58">
      <c r="A14" s="628" t="s">
        <v>1348</v>
      </c>
      <c r="B14" s="57" t="s">
        <v>538</v>
      </c>
      <c r="C14" s="607" t="s">
        <v>218</v>
      </c>
      <c r="D14" s="715">
        <v>0.25</v>
      </c>
      <c r="E14" s="311">
        <v>0</v>
      </c>
      <c r="F14" s="303">
        <f t="shared" si="0"/>
        <v>35</v>
      </c>
      <c r="G14" s="304"/>
      <c r="H14" s="304"/>
      <c r="I14" s="304"/>
      <c r="J14" s="304"/>
      <c r="K14" s="304">
        <f>110-75</f>
        <v>35</v>
      </c>
      <c r="L14" s="304"/>
      <c r="M14" s="305"/>
      <c r="N14" s="320" t="s">
        <v>1433</v>
      </c>
    </row>
    <row r="15" spans="1:14">
      <c r="A15" s="622" t="s">
        <v>219</v>
      </c>
      <c r="B15" s="601"/>
      <c r="C15" s="607" t="s">
        <v>218</v>
      </c>
      <c r="D15" s="41">
        <f t="shared" ref="D15:M15" si="2">SUM(D7:D14)</f>
        <v>6.75</v>
      </c>
      <c r="E15" s="42">
        <f t="shared" si="2"/>
        <v>723.75</v>
      </c>
      <c r="F15" s="43">
        <f t="shared" si="2"/>
        <v>1130</v>
      </c>
      <c r="G15" s="43">
        <f t="shared" si="2"/>
        <v>380</v>
      </c>
      <c r="H15" s="43">
        <f t="shared" si="2"/>
        <v>230</v>
      </c>
      <c r="I15" s="43">
        <f t="shared" si="2"/>
        <v>107</v>
      </c>
      <c r="J15" s="43">
        <f t="shared" si="2"/>
        <v>210</v>
      </c>
      <c r="K15" s="43">
        <f t="shared" si="2"/>
        <v>203</v>
      </c>
      <c r="L15" s="43">
        <f t="shared" si="2"/>
        <v>0</v>
      </c>
      <c r="M15" s="43">
        <f t="shared" si="2"/>
        <v>0</v>
      </c>
      <c r="N15" s="348"/>
    </row>
    <row r="16" spans="1:14">
      <c r="A16" s="67" t="s">
        <v>220</v>
      </c>
      <c r="B16" s="68"/>
      <c r="C16" s="69"/>
      <c r="D16" s="68"/>
      <c r="E16" s="68"/>
      <c r="F16" s="70"/>
      <c r="G16" s="70"/>
      <c r="H16" s="70"/>
      <c r="I16" s="70"/>
      <c r="J16" s="70"/>
      <c r="K16" s="70"/>
      <c r="L16" s="70"/>
      <c r="M16" s="70"/>
      <c r="N16" s="70"/>
    </row>
    <row r="17" spans="1:14" ht="58">
      <c r="A17" s="57" t="s">
        <v>1383</v>
      </c>
      <c r="B17" s="167" t="s">
        <v>961</v>
      </c>
      <c r="C17" s="607" t="s">
        <v>218</v>
      </c>
      <c r="D17" s="39"/>
      <c r="E17" s="258">
        <v>150</v>
      </c>
      <c r="F17" s="303">
        <f t="shared" ref="F17:F29" si="3">SUM(G17:M17)</f>
        <v>200</v>
      </c>
      <c r="G17" s="304">
        <v>0</v>
      </c>
      <c r="H17" s="304">
        <v>0</v>
      </c>
      <c r="I17" s="304">
        <v>0</v>
      </c>
      <c r="J17" s="304">
        <v>0</v>
      </c>
      <c r="K17" s="304">
        <v>200</v>
      </c>
      <c r="L17" s="304">
        <v>0</v>
      </c>
      <c r="M17" s="305">
        <v>0</v>
      </c>
      <c r="N17" s="318" t="s">
        <v>1349</v>
      </c>
    </row>
    <row r="18" spans="1:14">
      <c r="A18" s="57" t="s">
        <v>1384</v>
      </c>
      <c r="B18" s="57" t="s">
        <v>538</v>
      </c>
      <c r="C18" s="607" t="s">
        <v>218</v>
      </c>
      <c r="D18" s="715"/>
      <c r="E18" s="311">
        <v>0</v>
      </c>
      <c r="F18" s="303">
        <f t="shared" si="3"/>
        <v>200</v>
      </c>
      <c r="G18" s="304"/>
      <c r="H18" s="304"/>
      <c r="I18" s="304"/>
      <c r="J18" s="304"/>
      <c r="K18" s="304"/>
      <c r="L18" s="304"/>
      <c r="M18" s="305">
        <v>200</v>
      </c>
      <c r="N18" s="348"/>
    </row>
    <row r="19" spans="1:14">
      <c r="A19" s="628" t="s">
        <v>1385</v>
      </c>
      <c r="B19" s="57" t="s">
        <v>538</v>
      </c>
      <c r="C19" s="607" t="s">
        <v>218</v>
      </c>
      <c r="D19" s="715"/>
      <c r="E19" s="311">
        <v>0</v>
      </c>
      <c r="F19" s="303">
        <f t="shared" si="3"/>
        <v>190</v>
      </c>
      <c r="G19" s="304"/>
      <c r="H19" s="304"/>
      <c r="I19" s="304"/>
      <c r="J19" s="304"/>
      <c r="K19" s="304"/>
      <c r="L19" s="304"/>
      <c r="M19" s="305">
        <v>190</v>
      </c>
      <c r="N19" s="348"/>
    </row>
    <row r="20" spans="1:14">
      <c r="A20" s="628" t="s">
        <v>1385</v>
      </c>
      <c r="B20" s="57" t="s">
        <v>538</v>
      </c>
      <c r="C20" s="607" t="s">
        <v>218</v>
      </c>
      <c r="D20" s="715"/>
      <c r="E20" s="311">
        <v>0</v>
      </c>
      <c r="F20" s="303">
        <f t="shared" si="3"/>
        <v>190</v>
      </c>
      <c r="G20" s="304"/>
      <c r="H20" s="304"/>
      <c r="I20" s="304"/>
      <c r="J20" s="304"/>
      <c r="K20" s="304"/>
      <c r="L20" s="304"/>
      <c r="M20" s="305">
        <v>190</v>
      </c>
      <c r="N20" s="348"/>
    </row>
    <row r="21" spans="1:14">
      <c r="A21" s="628" t="s">
        <v>1385</v>
      </c>
      <c r="B21" s="57" t="s">
        <v>538</v>
      </c>
      <c r="C21" s="607" t="s">
        <v>218</v>
      </c>
      <c r="D21" s="715"/>
      <c r="E21" s="311">
        <v>0</v>
      </c>
      <c r="F21" s="303">
        <f t="shared" si="3"/>
        <v>190</v>
      </c>
      <c r="G21" s="304"/>
      <c r="H21" s="304"/>
      <c r="I21" s="304"/>
      <c r="J21" s="304"/>
      <c r="K21" s="304">
        <f>190</f>
        <v>190</v>
      </c>
      <c r="L21" s="304"/>
      <c r="M21" s="305"/>
      <c r="N21" s="320"/>
    </row>
    <row r="22" spans="1:14">
      <c r="A22" s="628" t="s">
        <v>1386</v>
      </c>
      <c r="B22" s="57" t="s">
        <v>538</v>
      </c>
      <c r="C22" s="607" t="s">
        <v>218</v>
      </c>
      <c r="D22" s="715"/>
      <c r="E22" s="311">
        <v>0</v>
      </c>
      <c r="F22" s="303">
        <f t="shared" si="3"/>
        <v>190</v>
      </c>
      <c r="G22" s="304"/>
      <c r="H22" s="304"/>
      <c r="I22" s="304"/>
      <c r="J22" s="304"/>
      <c r="K22" s="304">
        <v>190</v>
      </c>
      <c r="L22" s="304"/>
      <c r="M22" s="305"/>
      <c r="N22" s="348"/>
    </row>
    <row r="23" spans="1:14">
      <c r="A23" s="628" t="s">
        <v>1387</v>
      </c>
      <c r="B23" s="57" t="s">
        <v>538</v>
      </c>
      <c r="C23" s="607" t="s">
        <v>218</v>
      </c>
      <c r="D23" s="715"/>
      <c r="E23" s="311">
        <v>0</v>
      </c>
      <c r="F23" s="303">
        <f t="shared" si="3"/>
        <v>190</v>
      </c>
      <c r="G23" s="304"/>
      <c r="H23" s="304"/>
      <c r="I23" s="304"/>
      <c r="J23" s="304"/>
      <c r="K23" s="304"/>
      <c r="L23" s="304"/>
      <c r="M23" s="305">
        <v>190</v>
      </c>
      <c r="N23" s="348"/>
    </row>
    <row r="24" spans="1:14">
      <c r="A24" s="628" t="s">
        <v>1387</v>
      </c>
      <c r="B24" s="57" t="s">
        <v>538</v>
      </c>
      <c r="C24" s="607" t="s">
        <v>218</v>
      </c>
      <c r="D24" s="715"/>
      <c r="E24" s="311">
        <v>0</v>
      </c>
      <c r="F24" s="303">
        <f t="shared" si="3"/>
        <v>190</v>
      </c>
      <c r="G24" s="304"/>
      <c r="H24" s="304"/>
      <c r="I24" s="304"/>
      <c r="J24" s="304"/>
      <c r="K24" s="304"/>
      <c r="L24" s="304"/>
      <c r="M24" s="305">
        <v>190</v>
      </c>
      <c r="N24" s="348"/>
    </row>
    <row r="25" spans="1:14">
      <c r="A25" s="628" t="s">
        <v>1388</v>
      </c>
      <c r="B25" s="57" t="s">
        <v>538</v>
      </c>
      <c r="C25" s="607" t="s">
        <v>218</v>
      </c>
      <c r="D25" s="715"/>
      <c r="E25" s="311">
        <v>0</v>
      </c>
      <c r="F25" s="303">
        <f t="shared" si="3"/>
        <v>185</v>
      </c>
      <c r="G25" s="304"/>
      <c r="H25" s="304"/>
      <c r="I25" s="304"/>
      <c r="J25" s="304"/>
      <c r="K25" s="304"/>
      <c r="L25" s="304"/>
      <c r="M25" s="305">
        <v>185</v>
      </c>
      <c r="N25" s="348"/>
    </row>
    <row r="26" spans="1:14">
      <c r="A26" s="628" t="s">
        <v>1389</v>
      </c>
      <c r="B26" s="57" t="s">
        <v>538</v>
      </c>
      <c r="C26" s="607" t="s">
        <v>218</v>
      </c>
      <c r="D26" s="715"/>
      <c r="E26" s="311">
        <v>0</v>
      </c>
      <c r="F26" s="303">
        <f t="shared" si="3"/>
        <v>185</v>
      </c>
      <c r="G26" s="304"/>
      <c r="H26" s="304"/>
      <c r="I26" s="304"/>
      <c r="J26" s="304"/>
      <c r="K26" s="304"/>
      <c r="L26" s="304"/>
      <c r="M26" s="305">
        <v>185</v>
      </c>
      <c r="N26" s="348"/>
    </row>
    <row r="27" spans="1:14" ht="29">
      <c r="A27" s="813" t="s">
        <v>1390</v>
      </c>
      <c r="B27" s="57" t="s">
        <v>538</v>
      </c>
      <c r="C27" s="607" t="s">
        <v>218</v>
      </c>
      <c r="D27" s="715"/>
      <c r="E27" s="311">
        <v>0</v>
      </c>
      <c r="F27" s="303">
        <f t="shared" si="3"/>
        <v>185</v>
      </c>
      <c r="G27" s="304"/>
      <c r="H27" s="304"/>
      <c r="I27" s="304"/>
      <c r="J27" s="304"/>
      <c r="K27" s="304"/>
      <c r="L27" s="304">
        <v>185</v>
      </c>
      <c r="M27" s="313"/>
      <c r="N27" s="318" t="s">
        <v>1352</v>
      </c>
    </row>
    <row r="28" spans="1:14" ht="29">
      <c r="A28" s="628" t="s">
        <v>1391</v>
      </c>
      <c r="B28" s="57" t="s">
        <v>538</v>
      </c>
      <c r="C28" s="607" t="s">
        <v>218</v>
      </c>
      <c r="D28" s="715"/>
      <c r="E28" s="311">
        <v>0</v>
      </c>
      <c r="F28" s="303">
        <f t="shared" si="3"/>
        <v>185</v>
      </c>
      <c r="G28" s="304"/>
      <c r="H28" s="304"/>
      <c r="I28" s="304"/>
      <c r="J28" s="304"/>
      <c r="K28" s="304"/>
      <c r="L28" s="304">
        <v>185</v>
      </c>
      <c r="M28" s="313"/>
      <c r="N28" s="318" t="s">
        <v>1352</v>
      </c>
    </row>
    <row r="29" spans="1:14" ht="29">
      <c r="A29" s="628" t="s">
        <v>1392</v>
      </c>
      <c r="B29" s="57" t="s">
        <v>538</v>
      </c>
      <c r="C29" s="607" t="s">
        <v>218</v>
      </c>
      <c r="D29" s="715"/>
      <c r="E29" s="311">
        <v>0</v>
      </c>
      <c r="F29" s="303">
        <f t="shared" si="3"/>
        <v>185</v>
      </c>
      <c r="G29" s="304"/>
      <c r="H29" s="304"/>
      <c r="I29" s="304"/>
      <c r="J29" s="304"/>
      <c r="K29" s="304"/>
      <c r="L29" s="304">
        <v>185</v>
      </c>
      <c r="M29" s="313"/>
      <c r="N29" s="318" t="s">
        <v>1352</v>
      </c>
    </row>
    <row r="30" spans="1:14">
      <c r="A30" s="530" t="s">
        <v>296</v>
      </c>
      <c r="B30" s="530"/>
      <c r="C30" s="597">
        <v>253</v>
      </c>
      <c r="D30" s="262"/>
      <c r="E30" s="258">
        <v>0</v>
      </c>
      <c r="F30" s="303">
        <f>SUM(G30:M30)</f>
        <v>0</v>
      </c>
      <c r="G30" s="304">
        <v>0</v>
      </c>
      <c r="H30" s="304">
        <v>0</v>
      </c>
      <c r="I30" s="304">
        <v>0</v>
      </c>
      <c r="J30" s="304">
        <v>0</v>
      </c>
      <c r="K30" s="304">
        <v>0</v>
      </c>
      <c r="L30" s="304">
        <v>0</v>
      </c>
      <c r="M30" s="305">
        <v>0</v>
      </c>
      <c r="N30" s="348"/>
    </row>
    <row r="31" spans="1:14">
      <c r="A31" s="622" t="s">
        <v>225</v>
      </c>
      <c r="B31" s="601"/>
      <c r="C31" s="621"/>
      <c r="D31" s="262">
        <f t="shared" ref="D31:M31" si="4">SUM(D17:D30)</f>
        <v>0</v>
      </c>
      <c r="E31" s="42">
        <f t="shared" si="4"/>
        <v>150</v>
      </c>
      <c r="F31" s="43">
        <f t="shared" si="4"/>
        <v>2465</v>
      </c>
      <c r="G31" s="43">
        <f t="shared" si="4"/>
        <v>0</v>
      </c>
      <c r="H31" s="43">
        <f t="shared" si="4"/>
        <v>0</v>
      </c>
      <c r="I31" s="43">
        <f t="shared" si="4"/>
        <v>0</v>
      </c>
      <c r="J31" s="43">
        <f t="shared" si="4"/>
        <v>0</v>
      </c>
      <c r="K31" s="43">
        <f t="shared" si="4"/>
        <v>580</v>
      </c>
      <c r="L31" s="43">
        <f t="shared" si="4"/>
        <v>555</v>
      </c>
      <c r="M31" s="43">
        <f t="shared" si="4"/>
        <v>1330</v>
      </c>
      <c r="N31" s="348"/>
    </row>
    <row r="32" spans="1:14">
      <c r="A32" s="67" t="s">
        <v>226</v>
      </c>
      <c r="B32" s="68"/>
      <c r="C32" s="69"/>
      <c r="D32" s="68"/>
      <c r="E32" s="68"/>
      <c r="F32" s="70"/>
      <c r="G32" s="70"/>
      <c r="H32" s="70"/>
      <c r="I32" s="70"/>
      <c r="J32" s="70"/>
      <c r="K32" s="70"/>
      <c r="L32" s="70"/>
      <c r="M32" s="70"/>
      <c r="N32" s="70"/>
    </row>
    <row r="33" spans="1:14" ht="29">
      <c r="A33" s="530" t="s">
        <v>227</v>
      </c>
      <c r="B33" s="57"/>
      <c r="C33" s="607" t="s">
        <v>228</v>
      </c>
      <c r="D33" s="38">
        <v>0</v>
      </c>
      <c r="E33" s="258">
        <v>55</v>
      </c>
      <c r="F33" s="303">
        <f t="shared" ref="F33:F47" si="5">SUM(G33:M33)</f>
        <v>70</v>
      </c>
      <c r="G33" s="304">
        <v>5</v>
      </c>
      <c r="H33" s="304">
        <v>5</v>
      </c>
      <c r="I33" s="304">
        <v>5</v>
      </c>
      <c r="J33" s="304">
        <v>5</v>
      </c>
      <c r="K33" s="304">
        <v>50</v>
      </c>
      <c r="L33" s="304">
        <v>0</v>
      </c>
      <c r="M33" s="305">
        <v>0</v>
      </c>
      <c r="N33" s="318" t="s">
        <v>1379</v>
      </c>
    </row>
    <row r="34" spans="1:14">
      <c r="A34" s="530" t="s">
        <v>229</v>
      </c>
      <c r="B34" s="57"/>
      <c r="C34" s="597" t="s">
        <v>230</v>
      </c>
      <c r="D34" s="45"/>
      <c r="E34" s="258">
        <v>0</v>
      </c>
      <c r="F34" s="303">
        <f t="shared" si="5"/>
        <v>0</v>
      </c>
      <c r="G34" s="304">
        <v>0</v>
      </c>
      <c r="H34" s="304">
        <v>0</v>
      </c>
      <c r="I34" s="304">
        <v>0</v>
      </c>
      <c r="J34" s="304">
        <v>0</v>
      </c>
      <c r="K34" s="304">
        <v>0</v>
      </c>
      <c r="L34" s="304">
        <v>0</v>
      </c>
      <c r="M34" s="305">
        <v>0</v>
      </c>
      <c r="N34" s="348"/>
    </row>
    <row r="35" spans="1:14">
      <c r="A35" s="530" t="s">
        <v>231</v>
      </c>
      <c r="B35" s="57"/>
      <c r="C35" s="597" t="s">
        <v>232</v>
      </c>
      <c r="D35" s="45"/>
      <c r="E35" s="258">
        <v>6</v>
      </c>
      <c r="F35" s="303">
        <f t="shared" si="5"/>
        <v>13</v>
      </c>
      <c r="G35" s="304">
        <v>2</v>
      </c>
      <c r="H35" s="304">
        <v>1</v>
      </c>
      <c r="I35" s="304">
        <v>1</v>
      </c>
      <c r="J35" s="304">
        <v>1</v>
      </c>
      <c r="K35" s="304">
        <v>5</v>
      </c>
      <c r="L35" s="304">
        <v>3</v>
      </c>
      <c r="M35" s="305">
        <v>0</v>
      </c>
      <c r="N35" s="348" t="s">
        <v>329</v>
      </c>
    </row>
    <row r="36" spans="1:14">
      <c r="A36" s="530" t="s">
        <v>233</v>
      </c>
      <c r="B36" s="57"/>
      <c r="C36" s="597" t="s">
        <v>234</v>
      </c>
      <c r="D36" s="45"/>
      <c r="E36" s="258">
        <v>0</v>
      </c>
      <c r="F36" s="303">
        <f t="shared" si="5"/>
        <v>0</v>
      </c>
      <c r="G36" s="304">
        <v>0</v>
      </c>
      <c r="H36" s="304">
        <v>0</v>
      </c>
      <c r="I36" s="304">
        <v>0</v>
      </c>
      <c r="J36" s="304">
        <v>0</v>
      </c>
      <c r="K36" s="304">
        <v>0</v>
      </c>
      <c r="L36" s="304">
        <v>0</v>
      </c>
      <c r="M36" s="305">
        <v>0</v>
      </c>
      <c r="N36" s="348"/>
    </row>
    <row r="37" spans="1:14">
      <c r="A37" s="530" t="s">
        <v>235</v>
      </c>
      <c r="B37" s="57"/>
      <c r="C37" s="597">
        <v>251</v>
      </c>
      <c r="D37" s="45"/>
      <c r="E37" s="258">
        <v>200</v>
      </c>
      <c r="F37" s="303">
        <f t="shared" si="5"/>
        <v>100</v>
      </c>
      <c r="G37" s="304">
        <v>100</v>
      </c>
      <c r="H37" s="304">
        <v>0</v>
      </c>
      <c r="I37" s="304">
        <v>0</v>
      </c>
      <c r="J37" s="304">
        <v>0</v>
      </c>
      <c r="K37" s="304"/>
      <c r="L37" s="304">
        <v>0</v>
      </c>
      <c r="M37" s="305">
        <v>0</v>
      </c>
      <c r="N37" s="318" t="s">
        <v>1330</v>
      </c>
    </row>
    <row r="38" spans="1:14">
      <c r="A38" s="530" t="s">
        <v>243</v>
      </c>
      <c r="B38" s="57"/>
      <c r="C38" s="597">
        <v>252</v>
      </c>
      <c r="D38" s="45"/>
      <c r="E38" s="258">
        <v>8</v>
      </c>
      <c r="F38" s="303">
        <f t="shared" si="5"/>
        <v>9</v>
      </c>
      <c r="G38" s="304">
        <v>1</v>
      </c>
      <c r="H38" s="304">
        <v>1</v>
      </c>
      <c r="I38" s="304">
        <v>1</v>
      </c>
      <c r="J38" s="304">
        <v>1</v>
      </c>
      <c r="K38" s="304">
        <v>5</v>
      </c>
      <c r="L38" s="304">
        <v>0</v>
      </c>
      <c r="M38" s="305">
        <v>0</v>
      </c>
      <c r="N38" s="348" t="s">
        <v>962</v>
      </c>
    </row>
    <row r="39" spans="1:14" ht="87">
      <c r="A39" s="530" t="s">
        <v>963</v>
      </c>
      <c r="B39" s="57" t="s">
        <v>538</v>
      </c>
      <c r="C39" s="597">
        <v>252</v>
      </c>
      <c r="D39" s="45"/>
      <c r="E39" s="258">
        <v>0</v>
      </c>
      <c r="F39" s="303">
        <f t="shared" si="5"/>
        <v>763</v>
      </c>
      <c r="G39" s="304">
        <v>0</v>
      </c>
      <c r="H39" s="304">
        <v>0</v>
      </c>
      <c r="I39" s="304">
        <v>0</v>
      </c>
      <c r="J39" s="304">
        <v>0</v>
      </c>
      <c r="K39" s="304">
        <v>0</v>
      </c>
      <c r="L39" s="304">
        <f>675+88</f>
        <v>763</v>
      </c>
      <c r="M39" s="305">
        <v>0</v>
      </c>
      <c r="N39" s="318" t="s">
        <v>1393</v>
      </c>
    </row>
    <row r="40" spans="1:14" ht="29">
      <c r="A40" s="530" t="s">
        <v>1353</v>
      </c>
      <c r="B40" s="57" t="s">
        <v>538</v>
      </c>
      <c r="C40" s="597">
        <v>252</v>
      </c>
      <c r="D40" s="45"/>
      <c r="E40" s="258">
        <v>1320</v>
      </c>
      <c r="F40" s="303">
        <f t="shared" si="5"/>
        <v>3320</v>
      </c>
      <c r="G40" s="304">
        <v>0</v>
      </c>
      <c r="H40" s="304">
        <v>0</v>
      </c>
      <c r="I40" s="304">
        <v>0</v>
      </c>
      <c r="J40" s="304">
        <v>0</v>
      </c>
      <c r="K40" s="304">
        <v>0</v>
      </c>
      <c r="L40" s="304">
        <v>1320</v>
      </c>
      <c r="M40" s="305">
        <v>2000</v>
      </c>
      <c r="N40" s="318" t="s">
        <v>1380</v>
      </c>
    </row>
    <row r="41" spans="1:14" ht="43.5">
      <c r="A41" s="530" t="s">
        <v>1381</v>
      </c>
      <c r="B41" s="57" t="s">
        <v>538</v>
      </c>
      <c r="C41" s="597">
        <v>252</v>
      </c>
      <c r="D41" s="45"/>
      <c r="E41" s="258">
        <v>0</v>
      </c>
      <c r="F41" s="303">
        <f t="shared" si="5"/>
        <v>6871</v>
      </c>
      <c r="G41" s="304">
        <v>0</v>
      </c>
      <c r="H41" s="304">
        <v>0</v>
      </c>
      <c r="I41" s="304">
        <v>0</v>
      </c>
      <c r="J41" s="304">
        <v>0</v>
      </c>
      <c r="K41" s="304">
        <v>0</v>
      </c>
      <c r="L41" s="304"/>
      <c r="M41" s="305">
        <f>10000-M40-M25-M26-710-49</f>
        <v>6871</v>
      </c>
      <c r="N41" s="318" t="s">
        <v>1382</v>
      </c>
    </row>
    <row r="42" spans="1:14">
      <c r="A42" s="530" t="s">
        <v>244</v>
      </c>
      <c r="B42" s="57"/>
      <c r="C42" s="597">
        <v>253</v>
      </c>
      <c r="D42" s="530"/>
      <c r="E42" s="258">
        <v>0</v>
      </c>
      <c r="F42" s="303">
        <f t="shared" si="5"/>
        <v>0</v>
      </c>
      <c r="G42" s="304">
        <v>0</v>
      </c>
      <c r="H42" s="304">
        <v>0</v>
      </c>
      <c r="I42" s="304">
        <v>0</v>
      </c>
      <c r="J42" s="304">
        <v>0</v>
      </c>
      <c r="K42" s="304">
        <v>0</v>
      </c>
      <c r="L42" s="304">
        <v>0</v>
      </c>
      <c r="M42" s="305">
        <v>0</v>
      </c>
      <c r="N42" s="348"/>
    </row>
    <row r="43" spans="1:14" ht="29">
      <c r="A43" s="530" t="s">
        <v>245</v>
      </c>
      <c r="B43" s="57"/>
      <c r="C43" s="597">
        <v>255</v>
      </c>
      <c r="D43" s="530"/>
      <c r="E43" s="258">
        <v>0</v>
      </c>
      <c r="F43" s="303">
        <f t="shared" si="5"/>
        <v>50</v>
      </c>
      <c r="G43" s="304">
        <v>0</v>
      </c>
      <c r="H43" s="304">
        <v>0</v>
      </c>
      <c r="I43" s="304">
        <v>0</v>
      </c>
      <c r="J43" s="304">
        <v>0</v>
      </c>
      <c r="K43" s="304">
        <v>0</v>
      </c>
      <c r="L43" s="304">
        <v>50</v>
      </c>
      <c r="M43" s="305">
        <v>0</v>
      </c>
      <c r="N43" s="318" t="s">
        <v>1350</v>
      </c>
    </row>
    <row r="44" spans="1:14">
      <c r="A44" s="530" t="s">
        <v>246</v>
      </c>
      <c r="B44" s="57"/>
      <c r="C44" s="597">
        <v>256</v>
      </c>
      <c r="D44" s="530"/>
      <c r="E44" s="258">
        <v>0</v>
      </c>
      <c r="F44" s="303">
        <f t="shared" si="5"/>
        <v>0</v>
      </c>
      <c r="G44" s="304">
        <v>0</v>
      </c>
      <c r="H44" s="304">
        <v>0</v>
      </c>
      <c r="I44" s="304">
        <v>0</v>
      </c>
      <c r="J44" s="304">
        <v>0</v>
      </c>
      <c r="K44" s="304">
        <v>0</v>
      </c>
      <c r="L44" s="304">
        <v>0</v>
      </c>
      <c r="M44" s="305">
        <v>0</v>
      </c>
      <c r="N44" s="348"/>
    </row>
    <row r="45" spans="1:14">
      <c r="A45" s="530" t="s">
        <v>247</v>
      </c>
      <c r="B45" s="57"/>
      <c r="C45" s="597">
        <v>257</v>
      </c>
      <c r="D45" s="530"/>
      <c r="E45" s="258">
        <v>0</v>
      </c>
      <c r="F45" s="303">
        <f t="shared" si="5"/>
        <v>0</v>
      </c>
      <c r="G45" s="304">
        <v>0</v>
      </c>
      <c r="H45" s="304">
        <v>0</v>
      </c>
      <c r="I45" s="304">
        <v>0</v>
      </c>
      <c r="J45" s="304">
        <v>0</v>
      </c>
      <c r="K45" s="304">
        <v>0</v>
      </c>
      <c r="L45" s="304">
        <v>0</v>
      </c>
      <c r="M45" s="305">
        <v>0</v>
      </c>
      <c r="N45" s="348"/>
    </row>
    <row r="46" spans="1:14">
      <c r="A46" s="530" t="s">
        <v>248</v>
      </c>
      <c r="B46" s="57"/>
      <c r="C46" s="597" t="s">
        <v>249</v>
      </c>
      <c r="D46" s="530"/>
      <c r="E46" s="258">
        <v>0</v>
      </c>
      <c r="F46" s="303">
        <f t="shared" si="5"/>
        <v>0</v>
      </c>
      <c r="G46" s="304">
        <v>0</v>
      </c>
      <c r="H46" s="304">
        <v>0</v>
      </c>
      <c r="I46" s="304">
        <v>0</v>
      </c>
      <c r="J46" s="304">
        <v>0</v>
      </c>
      <c r="K46" s="304">
        <v>0</v>
      </c>
      <c r="L46" s="304">
        <v>0</v>
      </c>
      <c r="M46" s="305">
        <v>0</v>
      </c>
      <c r="N46" s="348"/>
    </row>
    <row r="47" spans="1:14">
      <c r="A47" s="601" t="s">
        <v>250</v>
      </c>
      <c r="B47" s="57"/>
      <c r="C47" s="621" t="s">
        <v>251</v>
      </c>
      <c r="D47" s="601"/>
      <c r="E47" s="258">
        <v>35</v>
      </c>
      <c r="F47" s="303">
        <f t="shared" si="5"/>
        <v>35</v>
      </c>
      <c r="G47" s="304">
        <v>10</v>
      </c>
      <c r="H47" s="304">
        <v>5</v>
      </c>
      <c r="I47" s="304">
        <v>5</v>
      </c>
      <c r="J47" s="304">
        <v>5</v>
      </c>
      <c r="K47" s="304">
        <v>10</v>
      </c>
      <c r="L47" s="304">
        <v>0</v>
      </c>
      <c r="M47" s="305">
        <v>0</v>
      </c>
      <c r="N47" s="348" t="s">
        <v>964</v>
      </c>
    </row>
    <row r="48" spans="1:14">
      <c r="A48" s="601" t="s">
        <v>252</v>
      </c>
      <c r="B48" s="57"/>
      <c r="C48" s="607" t="s">
        <v>253</v>
      </c>
      <c r="D48" s="601"/>
      <c r="E48" s="258">
        <v>0</v>
      </c>
      <c r="F48" s="303">
        <f>SUM(G48:M48)</f>
        <v>-1000</v>
      </c>
      <c r="G48" s="304">
        <f>-372+372</f>
        <v>0</v>
      </c>
      <c r="H48" s="304">
        <f>-124.5+124.5</f>
        <v>0</v>
      </c>
      <c r="I48" s="304">
        <f>-124.5+124.5</f>
        <v>0</v>
      </c>
      <c r="J48" s="304">
        <f>-124.5+124.5</f>
        <v>0</v>
      </c>
      <c r="K48" s="304">
        <f>-282+20+262</f>
        <v>0</v>
      </c>
      <c r="L48" s="304">
        <v>-1000</v>
      </c>
      <c r="M48" s="305">
        <v>0</v>
      </c>
      <c r="N48" s="318" t="s">
        <v>1586</v>
      </c>
    </row>
    <row r="49" spans="1:14">
      <c r="A49" s="622" t="s">
        <v>254</v>
      </c>
      <c r="B49" s="601"/>
      <c r="C49" s="621"/>
      <c r="D49" s="262"/>
      <c r="E49" s="42">
        <f t="shared" ref="E49:M49" si="6">SUM(E33:E48)</f>
        <v>1624</v>
      </c>
      <c r="F49" s="43">
        <f t="shared" si="6"/>
        <v>10231</v>
      </c>
      <c r="G49" s="43">
        <f t="shared" si="6"/>
        <v>118</v>
      </c>
      <c r="H49" s="43">
        <f t="shared" si="6"/>
        <v>12</v>
      </c>
      <c r="I49" s="43">
        <f t="shared" si="6"/>
        <v>12</v>
      </c>
      <c r="J49" s="43">
        <f t="shared" si="6"/>
        <v>12</v>
      </c>
      <c r="K49" s="43">
        <f t="shared" si="6"/>
        <v>70</v>
      </c>
      <c r="L49" s="43">
        <f t="shared" si="6"/>
        <v>1136</v>
      </c>
      <c r="M49" s="43">
        <f t="shared" si="6"/>
        <v>8871</v>
      </c>
      <c r="N49" s="348"/>
    </row>
    <row r="50" spans="1:14">
      <c r="A50" s="622" t="s">
        <v>255</v>
      </c>
      <c r="B50" s="629"/>
      <c r="C50" s="630"/>
      <c r="D50" s="262"/>
      <c r="E50" s="236">
        <v>0</v>
      </c>
      <c r="F50" s="235">
        <f>SUM(G50:M50)</f>
        <v>1408</v>
      </c>
      <c r="G50" s="235"/>
      <c r="H50" s="235"/>
      <c r="I50" s="235"/>
      <c r="J50" s="235"/>
      <c r="K50" s="235">
        <v>88</v>
      </c>
      <c r="L50" s="235">
        <v>1320</v>
      </c>
      <c r="M50" s="235"/>
      <c r="N50" s="348"/>
    </row>
    <row r="51" spans="1:14">
      <c r="A51" s="622" t="s">
        <v>256</v>
      </c>
      <c r="B51" s="631"/>
      <c r="C51" s="632"/>
      <c r="D51" s="48">
        <f>D49+D31+D15</f>
        <v>6.75</v>
      </c>
      <c r="E51" s="42">
        <f t="shared" ref="E51:M51" si="7">E49+E31+E15-E50</f>
        <v>2497.75</v>
      </c>
      <c r="F51" s="17">
        <f t="shared" si="7"/>
        <v>12418</v>
      </c>
      <c r="G51" s="17">
        <f t="shared" si="7"/>
        <v>498</v>
      </c>
      <c r="H51" s="17">
        <f t="shared" si="7"/>
        <v>242</v>
      </c>
      <c r="I51" s="17">
        <f t="shared" si="7"/>
        <v>119</v>
      </c>
      <c r="J51" s="17">
        <f t="shared" si="7"/>
        <v>222</v>
      </c>
      <c r="K51" s="17">
        <f t="shared" si="7"/>
        <v>765</v>
      </c>
      <c r="L51" s="17">
        <f t="shared" si="7"/>
        <v>371</v>
      </c>
      <c r="M51" s="17">
        <f t="shared" si="7"/>
        <v>10201</v>
      </c>
      <c r="N51" s="346"/>
    </row>
    <row r="52" spans="1:14">
      <c r="D52" s="53" t="s">
        <v>478</v>
      </c>
      <c r="E52" s="759">
        <v>2348</v>
      </c>
      <c r="F52" s="759">
        <f>+F51-M51-B57</f>
        <v>2418</v>
      </c>
    </row>
    <row r="53" spans="1:14">
      <c r="G53" s="257"/>
    </row>
    <row r="54" spans="1:14">
      <c r="A54" s="56" t="s">
        <v>300</v>
      </c>
      <c r="B54" s="31">
        <v>2024</v>
      </c>
      <c r="C54" s="31">
        <v>2023</v>
      </c>
      <c r="G54" s="257"/>
    </row>
    <row r="55" spans="1:14">
      <c r="A55" s="57" t="s">
        <v>301</v>
      </c>
      <c r="B55" s="815" cm="1">
        <f t="array" ref="B55">+M51-(SUM(+M18:M20)/2)-(SUM(+M23:M24)/2)+(SUM(+L27:L29)/2)+(L35/2)</f>
        <v>10000</v>
      </c>
      <c r="C55" s="58">
        <v>0</v>
      </c>
    </row>
    <row r="56" spans="1:14">
      <c r="A56" s="259" t="s">
        <v>302</v>
      </c>
      <c r="B56" s="59">
        <f>+M51</f>
        <v>10201</v>
      </c>
      <c r="C56" s="59">
        <v>0</v>
      </c>
    </row>
    <row r="57" spans="1:14">
      <c r="A57" s="60" t="s">
        <v>1619</v>
      </c>
      <c r="B57" s="61">
        <f>B55-B56</f>
        <v>-201</v>
      </c>
      <c r="C57" s="61">
        <f>C55-C56</f>
        <v>0</v>
      </c>
      <c r="D57" s="370" t="s">
        <v>1317</v>
      </c>
    </row>
    <row r="58" spans="1:14">
      <c r="A58" s="908" t="s">
        <v>593</v>
      </c>
      <c r="B58" s="908"/>
      <c r="C58" s="908"/>
      <c r="D58" s="31"/>
      <c r="E58" s="31"/>
      <c r="F58" s="31"/>
      <c r="G58" s="31"/>
      <c r="H58" s="31"/>
      <c r="I58" s="31"/>
      <c r="J58" s="31"/>
      <c r="K58" s="31"/>
      <c r="L58" s="31"/>
      <c r="M58" s="31"/>
      <c r="N58" s="536"/>
    </row>
    <row r="59" spans="1:14" ht="15" thickBot="1">
      <c r="C59" s="809"/>
    </row>
    <row r="60" spans="1:14" ht="15.5">
      <c r="A60" s="873" t="s">
        <v>257</v>
      </c>
      <c r="B60" s="874"/>
      <c r="C60" s="874"/>
      <c r="D60" s="874"/>
      <c r="E60" s="874"/>
      <c r="F60" s="874"/>
      <c r="G60" s="550"/>
      <c r="H60" s="31"/>
      <c r="I60" s="31"/>
      <c r="J60" s="31"/>
      <c r="K60" s="31"/>
      <c r="L60" s="31"/>
      <c r="M60" s="31"/>
      <c r="N60" s="536"/>
    </row>
    <row r="61" spans="1:14" ht="15.5">
      <c r="A61" s="875"/>
      <c r="B61" s="876"/>
      <c r="C61" s="876"/>
      <c r="D61" s="876"/>
      <c r="E61" s="876"/>
      <c r="F61" s="876"/>
      <c r="G61" s="551"/>
      <c r="H61" s="31"/>
      <c r="I61" s="31"/>
      <c r="J61" s="31"/>
      <c r="K61" s="31"/>
      <c r="L61" s="31"/>
      <c r="M61" s="31"/>
      <c r="N61" s="536"/>
    </row>
    <row r="62" spans="1:14">
      <c r="A62" s="877" t="s">
        <v>258</v>
      </c>
      <c r="B62" s="878"/>
      <c r="C62" s="552"/>
      <c r="D62" s="552"/>
      <c r="E62" s="552"/>
      <c r="F62" s="552"/>
      <c r="G62" s="551"/>
      <c r="H62" s="31"/>
      <c r="I62" s="31"/>
      <c r="J62" s="31"/>
      <c r="K62" s="31"/>
      <c r="L62" s="31"/>
      <c r="M62" s="31"/>
      <c r="N62" s="536"/>
    </row>
    <row r="63" spans="1:14">
      <c r="A63" s="553" t="s">
        <v>1028</v>
      </c>
      <c r="B63" s="554">
        <f>E51</f>
        <v>2497.75</v>
      </c>
      <c r="C63" s="555"/>
      <c r="D63" s="556"/>
      <c r="E63" s="556"/>
      <c r="F63" s="556"/>
      <c r="G63" s="551"/>
      <c r="H63" s="31"/>
      <c r="I63" s="31"/>
      <c r="J63" s="31"/>
      <c r="K63" s="31"/>
      <c r="L63" s="31"/>
      <c r="M63" s="31"/>
      <c r="N63" s="536"/>
    </row>
    <row r="64" spans="1:14">
      <c r="A64" s="557" t="s">
        <v>1029</v>
      </c>
      <c r="B64" s="558">
        <f>F51</f>
        <v>12418</v>
      </c>
      <c r="C64" s="555"/>
      <c r="D64" s="556"/>
      <c r="E64" s="556"/>
      <c r="F64" s="556"/>
      <c r="G64" s="551"/>
      <c r="H64" s="31"/>
      <c r="I64" s="31"/>
      <c r="J64" s="31"/>
      <c r="K64" s="31"/>
      <c r="L64" s="31"/>
      <c r="M64" s="31"/>
      <c r="N64" s="536"/>
    </row>
    <row r="65" spans="1:14">
      <c r="A65" s="559" t="s">
        <v>259</v>
      </c>
      <c r="B65" s="560">
        <f>B64-B63</f>
        <v>9920.25</v>
      </c>
      <c r="C65" s="555"/>
      <c r="D65" s="556"/>
      <c r="E65" s="556"/>
      <c r="F65" s="556"/>
      <c r="G65" s="551"/>
      <c r="H65" s="31"/>
      <c r="I65" s="31"/>
      <c r="J65" s="31"/>
      <c r="K65" s="31"/>
      <c r="L65" s="31"/>
      <c r="M65" s="31"/>
      <c r="N65" s="536"/>
    </row>
    <row r="66" spans="1:14">
      <c r="A66" s="559" t="s">
        <v>260</v>
      </c>
      <c r="B66" s="561">
        <f>B65/B63</f>
        <v>3.9716745070563508</v>
      </c>
      <c r="C66" s="555"/>
      <c r="D66" s="556"/>
      <c r="E66" s="556"/>
      <c r="F66" s="556"/>
      <c r="G66" s="551"/>
      <c r="H66" s="31"/>
      <c r="I66" s="31"/>
      <c r="J66" s="31"/>
      <c r="K66" s="31"/>
      <c r="L66" s="31"/>
      <c r="M66" s="31"/>
      <c r="N66" s="536"/>
    </row>
    <row r="67" spans="1:14">
      <c r="A67" s="562"/>
      <c r="B67" s="556"/>
      <c r="C67" s="757"/>
      <c r="D67" s="556"/>
      <c r="E67" s="556"/>
      <c r="F67" s="556"/>
      <c r="G67" s="551"/>
      <c r="H67" s="31"/>
      <c r="I67" s="31"/>
      <c r="J67" s="31"/>
      <c r="K67" s="31"/>
      <c r="L67" s="31"/>
      <c r="M67" s="31"/>
      <c r="N67" s="536"/>
    </row>
    <row r="68" spans="1:14">
      <c r="A68" s="879" t="s">
        <v>261</v>
      </c>
      <c r="B68" s="880"/>
      <c r="C68" s="880"/>
      <c r="D68" s="880"/>
      <c r="E68" s="880"/>
      <c r="F68" s="880"/>
      <c r="G68" s="551"/>
      <c r="H68" s="31"/>
      <c r="I68" s="31"/>
      <c r="J68" s="31"/>
      <c r="K68" s="31"/>
      <c r="L68" s="31"/>
      <c r="M68" s="31"/>
      <c r="N68" s="536"/>
    </row>
    <row r="69" spans="1:14" ht="54.9" customHeight="1">
      <c r="A69" s="881" t="s">
        <v>965</v>
      </c>
      <c r="B69" s="882"/>
      <c r="C69" s="882"/>
      <c r="D69" s="882"/>
      <c r="E69" s="882"/>
      <c r="F69" s="883"/>
      <c r="G69" s="551"/>
      <c r="H69" s="31"/>
      <c r="I69" s="31"/>
      <c r="J69" s="31"/>
      <c r="K69" s="31"/>
      <c r="L69" s="31"/>
      <c r="M69" s="31"/>
      <c r="N69" s="536"/>
    </row>
    <row r="70" spans="1:14">
      <c r="A70" s="563"/>
      <c r="B70" s="564"/>
      <c r="C70" s="564"/>
      <c r="D70" s="564"/>
      <c r="E70" s="564"/>
      <c r="F70" s="564"/>
      <c r="G70" s="551"/>
      <c r="H70" s="31"/>
      <c r="I70" s="31"/>
      <c r="J70" s="31"/>
      <c r="K70" s="31"/>
      <c r="L70" s="31"/>
      <c r="M70" s="31"/>
      <c r="N70" s="536"/>
    </row>
    <row r="71" spans="1:14">
      <c r="A71" s="565" t="s">
        <v>262</v>
      </c>
      <c r="B71" s="556"/>
      <c r="C71" s="810"/>
      <c r="D71" s="556"/>
      <c r="E71" s="556"/>
      <c r="F71" s="556"/>
      <c r="G71" s="551"/>
      <c r="H71" s="31"/>
      <c r="I71" s="31"/>
      <c r="J71" s="31"/>
      <c r="K71" s="31"/>
      <c r="L71" s="31"/>
      <c r="M71" s="31"/>
      <c r="N71" s="536"/>
    </row>
    <row r="72" spans="1:14" ht="36" customHeight="1">
      <c r="A72" s="881" t="s">
        <v>966</v>
      </c>
      <c r="B72" s="882"/>
      <c r="C72" s="882"/>
      <c r="D72" s="882"/>
      <c r="E72" s="882"/>
      <c r="F72" s="883"/>
      <c r="G72" s="551"/>
      <c r="H72" s="31"/>
      <c r="I72" s="31"/>
      <c r="J72" s="31"/>
      <c r="K72" s="31"/>
      <c r="L72" s="31"/>
      <c r="M72" s="31"/>
      <c r="N72" s="536"/>
    </row>
    <row r="73" spans="1:14">
      <c r="A73" s="562"/>
      <c r="B73" s="556"/>
      <c r="C73" s="810"/>
      <c r="D73" s="556"/>
      <c r="E73" s="556"/>
      <c r="F73" s="556"/>
      <c r="G73" s="551"/>
      <c r="H73" s="31"/>
      <c r="I73" s="31"/>
      <c r="J73" s="31"/>
      <c r="K73" s="31"/>
      <c r="L73" s="31"/>
      <c r="M73" s="31"/>
      <c r="N73" s="536"/>
    </row>
    <row r="74" spans="1:14">
      <c r="A74" s="879" t="s">
        <v>1020</v>
      </c>
      <c r="B74" s="880"/>
      <c r="C74" s="880"/>
      <c r="D74" s="880"/>
      <c r="E74" s="880"/>
      <c r="F74" s="880"/>
      <c r="G74" s="551"/>
      <c r="H74" s="31"/>
      <c r="I74" s="31"/>
      <c r="J74" s="31"/>
      <c r="K74" s="31"/>
      <c r="L74" s="31"/>
      <c r="M74" s="31"/>
      <c r="N74" s="536"/>
    </row>
    <row r="75" spans="1:14">
      <c r="A75" s="898" t="s">
        <v>1021</v>
      </c>
      <c r="B75" s="899"/>
      <c r="C75" s="899"/>
      <c r="D75" s="899"/>
      <c r="E75" s="899"/>
      <c r="F75" s="899"/>
      <c r="G75" s="551"/>
      <c r="H75" s="31"/>
      <c r="I75" s="31"/>
      <c r="J75" s="31"/>
      <c r="K75" s="31"/>
      <c r="L75" s="31"/>
      <c r="M75" s="31"/>
      <c r="N75" s="536"/>
    </row>
    <row r="76" spans="1:14" ht="31.5" customHeight="1">
      <c r="A76" s="881" t="s">
        <v>967</v>
      </c>
      <c r="B76" s="885"/>
      <c r="C76" s="885"/>
      <c r="D76" s="885"/>
      <c r="E76" s="885"/>
      <c r="F76" s="886"/>
      <c r="G76" s="551"/>
      <c r="H76" s="31"/>
      <c r="I76" s="31"/>
      <c r="J76" s="31"/>
      <c r="K76" s="31"/>
      <c r="L76" s="31"/>
      <c r="M76" s="31"/>
      <c r="N76" s="536"/>
    </row>
    <row r="77" spans="1:14">
      <c r="A77" s="565"/>
      <c r="B77" s="556"/>
      <c r="C77" s="810"/>
      <c r="D77" s="556"/>
      <c r="E77" s="556"/>
      <c r="F77" s="556"/>
      <c r="G77" s="551"/>
      <c r="H77" s="31"/>
      <c r="I77" s="31"/>
      <c r="J77" s="31"/>
      <c r="K77" s="31"/>
      <c r="L77" s="31"/>
      <c r="M77" s="31"/>
      <c r="N77" s="536"/>
    </row>
    <row r="78" spans="1:14">
      <c r="A78" s="879" t="s">
        <v>264</v>
      </c>
      <c r="B78" s="880"/>
      <c r="C78" s="880"/>
      <c r="D78" s="880"/>
      <c r="E78" s="880"/>
      <c r="F78" s="556"/>
      <c r="G78" s="551"/>
      <c r="H78" s="31"/>
      <c r="I78" s="31"/>
      <c r="J78" s="31"/>
      <c r="K78" s="31"/>
      <c r="L78" s="31"/>
      <c r="M78" s="31"/>
      <c r="N78" s="536"/>
    </row>
    <row r="79" spans="1:14" ht="68.150000000000006" customHeight="1">
      <c r="A79" s="881" t="s">
        <v>968</v>
      </c>
      <c r="B79" s="885"/>
      <c r="C79" s="885"/>
      <c r="D79" s="885"/>
      <c r="E79" s="885"/>
      <c r="F79" s="886"/>
      <c r="G79" s="551"/>
      <c r="H79" s="31"/>
      <c r="I79" s="31"/>
      <c r="J79" s="31"/>
      <c r="K79" s="31"/>
      <c r="L79" s="31"/>
      <c r="M79" s="31"/>
      <c r="N79" s="536"/>
    </row>
    <row r="80" spans="1:14">
      <c r="A80" s="562"/>
      <c r="B80" s="556"/>
      <c r="C80" s="810"/>
      <c r="D80" s="556"/>
      <c r="E80" s="556"/>
      <c r="F80" s="556"/>
      <c r="G80" s="551"/>
      <c r="H80" s="31"/>
      <c r="I80" s="31"/>
      <c r="J80" s="31"/>
      <c r="K80" s="31"/>
      <c r="L80" s="31"/>
      <c r="M80" s="31"/>
      <c r="N80" s="536"/>
    </row>
    <row r="81" spans="1:14">
      <c r="A81" s="565" t="s">
        <v>265</v>
      </c>
      <c r="B81" s="556"/>
      <c r="C81" s="810"/>
      <c r="D81" s="556"/>
      <c r="E81" s="556"/>
      <c r="F81" s="556"/>
      <c r="G81" s="551"/>
      <c r="H81" s="31"/>
      <c r="I81" s="31"/>
      <c r="J81" s="31"/>
      <c r="K81" s="31"/>
      <c r="L81" s="31"/>
      <c r="M81" s="31"/>
      <c r="N81" s="536"/>
    </row>
    <row r="82" spans="1:14">
      <c r="A82" s="566" t="s">
        <v>266</v>
      </c>
      <c r="B82" s="556"/>
      <c r="C82" s="810"/>
      <c r="D82" s="556"/>
      <c r="E82" s="556"/>
      <c r="F82" s="556"/>
      <c r="G82" s="551"/>
      <c r="H82" s="31"/>
      <c r="I82" s="31"/>
      <c r="J82" s="31"/>
      <c r="K82" s="31"/>
      <c r="L82" s="31"/>
      <c r="M82" s="31"/>
      <c r="N82" s="536"/>
    </row>
    <row r="83" spans="1:14" ht="26.25" customHeight="1">
      <c r="A83" s="892" t="s">
        <v>1354</v>
      </c>
      <c r="B83" s="893"/>
      <c r="C83" s="893"/>
      <c r="D83" s="893"/>
      <c r="E83" s="893"/>
      <c r="F83" s="893"/>
      <c r="G83" s="551"/>
      <c r="H83" s="31"/>
      <c r="I83" s="31"/>
      <c r="J83" s="31"/>
      <c r="K83" s="31"/>
      <c r="L83" s="31"/>
      <c r="M83" s="31"/>
      <c r="N83" s="536"/>
    </row>
    <row r="84" spans="1:14" ht="50.25" customHeight="1">
      <c r="A84" s="881"/>
      <c r="B84" s="904"/>
      <c r="C84" s="904"/>
      <c r="D84" s="904"/>
      <c r="E84" s="904"/>
      <c r="F84" s="905"/>
      <c r="G84" s="551"/>
      <c r="H84" s="31"/>
      <c r="I84" s="31"/>
      <c r="J84" s="31"/>
      <c r="K84" s="31"/>
      <c r="L84" s="31"/>
      <c r="M84" s="31"/>
      <c r="N84" s="536"/>
    </row>
    <row r="85" spans="1:14">
      <c r="A85" s="894"/>
      <c r="B85" s="895"/>
      <c r="C85" s="895"/>
      <c r="D85" s="895"/>
      <c r="E85" s="895"/>
      <c r="F85" s="895"/>
      <c r="G85" s="551"/>
      <c r="H85" s="31"/>
      <c r="I85" s="31"/>
      <c r="J85" s="31"/>
      <c r="K85" s="31"/>
      <c r="L85" s="31"/>
      <c r="M85" s="31"/>
      <c r="N85" s="536"/>
    </row>
    <row r="86" spans="1:14">
      <c r="A86" s="566" t="s">
        <v>268</v>
      </c>
      <c r="B86" s="556"/>
      <c r="C86" s="810"/>
      <c r="D86" s="556"/>
      <c r="E86" s="556"/>
      <c r="F86" s="556"/>
      <c r="G86" s="551"/>
      <c r="H86" s="31"/>
      <c r="I86" s="31"/>
      <c r="J86" s="31"/>
      <c r="K86" s="31"/>
      <c r="L86" s="31"/>
      <c r="M86" s="31"/>
      <c r="N86" s="536"/>
    </row>
    <row r="87" spans="1:14" ht="28.65" customHeight="1">
      <c r="A87" s="896" t="s">
        <v>269</v>
      </c>
      <c r="B87" s="897"/>
      <c r="C87" s="897"/>
      <c r="D87" s="897"/>
      <c r="E87" s="897"/>
      <c r="F87" s="897"/>
      <c r="G87" s="551"/>
      <c r="H87" s="31"/>
      <c r="I87" s="31"/>
      <c r="J87" s="31"/>
      <c r="K87" s="31"/>
      <c r="L87" s="31"/>
      <c r="M87" s="31"/>
      <c r="N87" s="536"/>
    </row>
    <row r="88" spans="1:14" ht="30.75" customHeight="1">
      <c r="A88" s="889"/>
      <c r="B88" s="890"/>
      <c r="C88" s="890"/>
      <c r="D88" s="890"/>
      <c r="E88" s="890"/>
      <c r="F88" s="891"/>
      <c r="G88" s="551"/>
      <c r="H88" s="31"/>
      <c r="I88" s="31"/>
      <c r="J88" s="31"/>
      <c r="K88" s="31"/>
      <c r="L88" s="31"/>
      <c r="M88" s="31"/>
      <c r="N88" s="536"/>
    </row>
    <row r="89" spans="1:14" ht="15" thickBot="1">
      <c r="A89" s="567"/>
      <c r="B89" s="568"/>
      <c r="C89" s="569"/>
      <c r="D89" s="568"/>
      <c r="E89" s="568"/>
      <c r="F89" s="568"/>
      <c r="G89" s="570"/>
      <c r="H89" s="31"/>
      <c r="I89" s="31"/>
      <c r="J89" s="31"/>
      <c r="K89" s="31"/>
      <c r="L89" s="31"/>
      <c r="M89" s="31"/>
      <c r="N89" s="536"/>
    </row>
    <row r="90" spans="1:14">
      <c r="A90" s="31"/>
      <c r="B90" s="31"/>
      <c r="C90" s="32"/>
      <c r="D90" s="31"/>
      <c r="E90" s="31"/>
      <c r="F90" s="31"/>
      <c r="G90" s="31"/>
      <c r="H90" s="31"/>
      <c r="I90" s="31"/>
      <c r="J90" s="31"/>
      <c r="K90" s="31"/>
      <c r="L90" s="31"/>
      <c r="M90" s="31"/>
      <c r="N90" s="536"/>
    </row>
    <row r="91" spans="1:14">
      <c r="A91" s="31"/>
      <c r="B91" s="31"/>
      <c r="C91" s="32"/>
      <c r="D91" s="31"/>
      <c r="E91" s="31"/>
      <c r="F91" s="31"/>
      <c r="G91" s="31"/>
      <c r="H91" s="31"/>
      <c r="I91" s="31"/>
      <c r="J91" s="31"/>
      <c r="K91" s="31"/>
      <c r="L91" s="31"/>
      <c r="M91" s="31"/>
      <c r="N91" s="536"/>
    </row>
    <row r="92" spans="1:14">
      <c r="A92" s="31"/>
      <c r="B92" s="31"/>
      <c r="C92" s="32"/>
      <c r="D92" s="31"/>
      <c r="E92" s="31"/>
      <c r="F92" s="31"/>
      <c r="G92" s="31"/>
      <c r="H92" s="31"/>
      <c r="I92" s="31"/>
      <c r="J92" s="31"/>
      <c r="K92" s="31"/>
      <c r="L92" s="31"/>
      <c r="M92" s="31"/>
      <c r="N92" s="536"/>
    </row>
    <row r="93" spans="1:14">
      <c r="A93" s="31"/>
      <c r="B93" s="31"/>
      <c r="C93" s="32"/>
      <c r="D93" s="31"/>
      <c r="E93" s="31"/>
      <c r="F93" s="31"/>
      <c r="G93" s="31"/>
      <c r="H93" s="31"/>
      <c r="I93" s="31"/>
      <c r="J93" s="31"/>
      <c r="K93" s="31"/>
      <c r="L93" s="31"/>
      <c r="M93" s="31"/>
      <c r="N93" s="536"/>
    </row>
    <row r="94" spans="1:14">
      <c r="A94" s="31"/>
      <c r="B94" s="31"/>
      <c r="C94" s="32"/>
      <c r="D94" s="31"/>
      <c r="E94" s="31"/>
      <c r="F94" s="31"/>
      <c r="G94" s="31"/>
      <c r="H94" s="31"/>
      <c r="I94" s="31"/>
      <c r="J94" s="31"/>
      <c r="K94" s="31"/>
      <c r="L94" s="31"/>
      <c r="M94" s="31"/>
      <c r="N94" s="536"/>
    </row>
    <row r="95" spans="1:14">
      <c r="A95" s="31"/>
      <c r="B95" s="31"/>
      <c r="C95" s="32"/>
      <c r="D95" s="31"/>
      <c r="E95" s="31"/>
      <c r="F95" s="31"/>
      <c r="G95" s="31"/>
      <c r="H95" s="31"/>
      <c r="I95" s="31"/>
      <c r="J95" s="31"/>
      <c r="K95" s="31"/>
      <c r="L95" s="31"/>
      <c r="M95" s="31"/>
      <c r="N95" s="536"/>
    </row>
    <row r="96" spans="1:14">
      <c r="A96" s="31"/>
      <c r="B96" s="31"/>
      <c r="C96" s="32"/>
      <c r="D96" s="31"/>
      <c r="E96" s="31"/>
      <c r="F96" s="31"/>
      <c r="G96" s="31"/>
      <c r="H96" s="31"/>
      <c r="I96" s="31"/>
      <c r="J96" s="31"/>
      <c r="K96" s="31"/>
      <c r="L96" s="31"/>
      <c r="M96" s="31"/>
      <c r="N96" s="536"/>
    </row>
    <row r="97" spans="1:14">
      <c r="A97" s="31"/>
      <c r="B97" s="31"/>
      <c r="C97" s="32"/>
      <c r="D97" s="31"/>
      <c r="E97" s="31"/>
      <c r="F97" s="31"/>
      <c r="G97" s="31"/>
      <c r="H97" s="31"/>
      <c r="I97" s="31"/>
      <c r="J97" s="31"/>
      <c r="K97" s="31"/>
      <c r="L97" s="31"/>
      <c r="M97" s="31"/>
      <c r="N97" s="536"/>
    </row>
    <row r="98" spans="1:14">
      <c r="A98" s="31"/>
      <c r="B98" s="31"/>
      <c r="C98" s="32"/>
      <c r="D98" s="31"/>
      <c r="E98" s="31"/>
      <c r="F98" s="31"/>
      <c r="G98" s="31"/>
      <c r="H98" s="31"/>
      <c r="I98" s="31"/>
      <c r="J98" s="31"/>
      <c r="K98" s="31"/>
      <c r="L98" s="31"/>
      <c r="M98" s="31"/>
      <c r="N98" s="536"/>
    </row>
    <row r="99" spans="1:14">
      <c r="A99" s="31"/>
      <c r="B99" s="31"/>
      <c r="C99" s="32"/>
      <c r="D99" s="31"/>
      <c r="E99" s="31"/>
      <c r="F99" s="31"/>
      <c r="G99" s="31"/>
      <c r="H99" s="31"/>
      <c r="I99" s="31"/>
      <c r="J99" s="31"/>
      <c r="K99" s="31"/>
      <c r="L99" s="31"/>
      <c r="M99" s="31"/>
      <c r="N99" s="536"/>
    </row>
    <row r="100" spans="1:14">
      <c r="A100" s="31"/>
      <c r="B100" s="31"/>
      <c r="C100" s="32"/>
      <c r="D100" s="31"/>
      <c r="E100" s="31"/>
      <c r="F100" s="31"/>
      <c r="G100" s="31"/>
      <c r="H100" s="31"/>
      <c r="I100" s="31"/>
      <c r="J100" s="31"/>
      <c r="K100" s="31"/>
      <c r="L100" s="31"/>
      <c r="M100" s="31"/>
      <c r="N100" s="536"/>
    </row>
  </sheetData>
  <mergeCells count="18">
    <mergeCell ref="A79:F79"/>
    <mergeCell ref="A1:N1"/>
    <mergeCell ref="A60:F60"/>
    <mergeCell ref="A61:F61"/>
    <mergeCell ref="A62:B62"/>
    <mergeCell ref="A68:F68"/>
    <mergeCell ref="A69:F69"/>
    <mergeCell ref="A72:F72"/>
    <mergeCell ref="A74:F74"/>
    <mergeCell ref="A75:F75"/>
    <mergeCell ref="A76:F76"/>
    <mergeCell ref="A78:E78"/>
    <mergeCell ref="A58:C58"/>
    <mergeCell ref="A83:F83"/>
    <mergeCell ref="A84:F84"/>
    <mergeCell ref="A85:F85"/>
    <mergeCell ref="A87:F87"/>
    <mergeCell ref="A88:F88"/>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N75"/>
  <sheetViews>
    <sheetView workbookViewId="0">
      <selection sqref="A1:N1"/>
    </sheetView>
  </sheetViews>
  <sheetFormatPr defaultColWidth="8.81640625" defaultRowHeight="14.5"/>
  <cols>
    <col min="1" max="1" width="39.54296875" style="347" customWidth="1"/>
    <col min="2" max="2" width="16" style="347" customWidth="1"/>
    <col min="3" max="3" width="7.7265625" style="369" customWidth="1"/>
    <col min="4" max="4" width="8.7265625" style="347" customWidth="1"/>
    <col min="5" max="5" width="10.7265625" style="347" customWidth="1"/>
    <col min="6" max="6" width="11" style="347" customWidth="1"/>
    <col min="7" max="7" width="9.54296875" style="347" customWidth="1"/>
    <col min="8" max="8" width="16.54296875" style="347" bestFit="1" customWidth="1"/>
    <col min="9" max="9" width="7.1796875" style="347" customWidth="1"/>
    <col min="10" max="10" width="9.26953125" style="347" customWidth="1"/>
    <col min="11" max="11" width="7.7265625" style="347" customWidth="1"/>
    <col min="12" max="12" width="9.7265625" style="347" customWidth="1"/>
    <col min="13" max="13" width="9.1796875" style="347" customWidth="1"/>
    <col min="14" max="14" width="38" style="347" customWidth="1"/>
    <col min="15" max="16384" width="8.81640625" style="347"/>
  </cols>
  <sheetData>
    <row r="1" spans="1:14" ht="15.5">
      <c r="A1" s="854" t="s">
        <v>165</v>
      </c>
      <c r="B1" s="854"/>
      <c r="C1" s="854"/>
      <c r="D1" s="854"/>
      <c r="E1" s="854"/>
      <c r="F1" s="854"/>
      <c r="G1" s="854"/>
      <c r="H1" s="854"/>
      <c r="I1" s="854"/>
      <c r="J1" s="854"/>
      <c r="K1" s="854"/>
      <c r="L1" s="854"/>
      <c r="M1" s="854"/>
      <c r="N1" s="854"/>
    </row>
    <row r="2" spans="1:14">
      <c r="A2" s="702" t="s">
        <v>881</v>
      </c>
      <c r="B2" s="370"/>
      <c r="C2" s="639"/>
      <c r="D2" s="370"/>
      <c r="E2" s="370"/>
      <c r="F2" s="370"/>
      <c r="G2" s="370"/>
      <c r="H2" s="370"/>
      <c r="I2" s="370"/>
      <c r="J2" s="370"/>
      <c r="K2" s="370"/>
      <c r="L2" s="370"/>
      <c r="M2" s="370"/>
      <c r="N2" s="370"/>
    </row>
    <row r="3" spans="1:14">
      <c r="A3" s="506" t="s">
        <v>335</v>
      </c>
      <c r="B3" s="370"/>
      <c r="C3" s="639"/>
      <c r="D3" s="370"/>
      <c r="E3" s="29"/>
      <c r="F3" s="29"/>
      <c r="G3" s="451" t="s">
        <v>210</v>
      </c>
      <c r="H3" s="29"/>
      <c r="I3" s="370"/>
      <c r="J3" s="370"/>
      <c r="K3" s="370"/>
      <c r="L3" s="370"/>
      <c r="M3" s="370"/>
      <c r="N3" s="370"/>
    </row>
    <row r="4" spans="1:14">
      <c r="A4" s="506" t="s">
        <v>1592</v>
      </c>
      <c r="B4" s="31"/>
      <c r="C4" s="32"/>
      <c r="D4" s="31"/>
      <c r="E4" s="31"/>
      <c r="F4" s="370"/>
      <c r="G4" s="370"/>
      <c r="H4" s="370"/>
      <c r="I4" s="370"/>
      <c r="J4" s="370"/>
      <c r="K4" s="370"/>
      <c r="L4" s="370"/>
      <c r="M4" s="370"/>
      <c r="N4" s="370"/>
    </row>
    <row r="5" spans="1:14" ht="26.5">
      <c r="A5" s="33"/>
      <c r="B5" s="33" t="s">
        <v>212</v>
      </c>
      <c r="C5" s="1" t="s">
        <v>213</v>
      </c>
      <c r="D5" s="2" t="s">
        <v>273</v>
      </c>
      <c r="E5" s="34" t="s">
        <v>734</v>
      </c>
      <c r="F5" s="176" t="s">
        <v>1008</v>
      </c>
      <c r="G5" s="176" t="s">
        <v>0</v>
      </c>
      <c r="H5" s="176" t="s">
        <v>1</v>
      </c>
      <c r="I5" s="176" t="s">
        <v>2</v>
      </c>
      <c r="J5" s="176" t="s">
        <v>3</v>
      </c>
      <c r="K5" s="176" t="s">
        <v>4</v>
      </c>
      <c r="L5" s="176" t="s">
        <v>26</v>
      </c>
      <c r="M5" s="2" t="s">
        <v>214</v>
      </c>
      <c r="N5" s="176" t="s">
        <v>215</v>
      </c>
    </row>
    <row r="6" spans="1:14">
      <c r="A6" s="67" t="s">
        <v>216</v>
      </c>
      <c r="B6" s="68"/>
      <c r="C6" s="69"/>
      <c r="D6" s="68"/>
      <c r="E6" s="68"/>
      <c r="F6" s="68"/>
      <c r="G6" s="68"/>
      <c r="H6" s="68"/>
      <c r="I6" s="68"/>
      <c r="J6" s="68"/>
      <c r="K6" s="68"/>
      <c r="L6" s="68"/>
      <c r="M6" s="68"/>
      <c r="N6" s="68"/>
    </row>
    <row r="7" spans="1:14">
      <c r="A7" s="36" t="s">
        <v>1223</v>
      </c>
      <c r="B7" s="36" t="s">
        <v>336</v>
      </c>
      <c r="C7" s="37" t="s">
        <v>218</v>
      </c>
      <c r="D7" s="38">
        <v>1</v>
      </c>
      <c r="E7" s="161">
        <v>166</v>
      </c>
      <c r="F7" s="162">
        <f>SUM(G7:M7)</f>
        <v>173</v>
      </c>
      <c r="G7" s="163">
        <v>0</v>
      </c>
      <c r="H7" s="163">
        <v>0</v>
      </c>
      <c r="I7" s="163">
        <v>0</v>
      </c>
      <c r="J7" s="163">
        <v>173</v>
      </c>
      <c r="K7" s="163">
        <v>0</v>
      </c>
      <c r="L7" s="163">
        <v>0</v>
      </c>
      <c r="M7" s="164">
        <v>0</v>
      </c>
      <c r="N7" s="320" t="s">
        <v>337</v>
      </c>
    </row>
    <row r="8" spans="1:14" ht="15" customHeight="1">
      <c r="A8" s="36" t="s">
        <v>338</v>
      </c>
      <c r="B8" s="36" t="s">
        <v>339</v>
      </c>
      <c r="C8" s="37" t="s">
        <v>218</v>
      </c>
      <c r="D8" s="39">
        <v>1</v>
      </c>
      <c r="E8" s="161">
        <v>140</v>
      </c>
      <c r="F8" s="162">
        <f t="shared" ref="F8:F15" si="0">SUM(G8:M8)</f>
        <v>146</v>
      </c>
      <c r="G8" s="163">
        <v>0</v>
      </c>
      <c r="H8" s="163">
        <v>0</v>
      </c>
      <c r="I8" s="163">
        <v>0</v>
      </c>
      <c r="J8" s="163">
        <v>146</v>
      </c>
      <c r="K8" s="163">
        <v>0</v>
      </c>
      <c r="L8" s="163">
        <v>0</v>
      </c>
      <c r="M8" s="164">
        <v>0</v>
      </c>
      <c r="N8" s="320" t="s">
        <v>337</v>
      </c>
    </row>
    <row r="9" spans="1:14" s="370" customFormat="1" ht="74.25" customHeight="1">
      <c r="A9" s="36" t="s">
        <v>1224</v>
      </c>
      <c r="B9" s="601" t="s">
        <v>985</v>
      </c>
      <c r="C9" s="37" t="s">
        <v>218</v>
      </c>
      <c r="D9" s="39">
        <v>1</v>
      </c>
      <c r="E9" s="258">
        <v>151</v>
      </c>
      <c r="F9" s="303">
        <f t="shared" ref="F9" si="1">SUM(G9:M9)</f>
        <v>170</v>
      </c>
      <c r="G9" s="304">
        <v>0</v>
      </c>
      <c r="H9" s="304">
        <v>0</v>
      </c>
      <c r="I9" s="304">
        <v>0</v>
      </c>
      <c r="J9" s="304">
        <v>170</v>
      </c>
      <c r="K9" s="304">
        <f>134-134</f>
        <v>0</v>
      </c>
      <c r="L9" s="304">
        <v>0</v>
      </c>
      <c r="M9" s="305">
        <v>0</v>
      </c>
      <c r="N9" s="320" t="s">
        <v>720</v>
      </c>
    </row>
    <row r="10" spans="1:14" ht="57.5" customHeight="1">
      <c r="A10" s="371" t="s">
        <v>986</v>
      </c>
      <c r="B10" s="601" t="s">
        <v>538</v>
      </c>
      <c r="C10" s="37" t="s">
        <v>218</v>
      </c>
      <c r="D10" s="39">
        <v>1</v>
      </c>
      <c r="E10" s="161">
        <v>0</v>
      </c>
      <c r="F10" s="162">
        <f t="shared" si="0"/>
        <v>146</v>
      </c>
      <c r="G10" s="163">
        <v>0</v>
      </c>
      <c r="H10" s="163">
        <v>0</v>
      </c>
      <c r="I10" s="163">
        <v>0</v>
      </c>
      <c r="J10" s="163">
        <f>170-22-148</f>
        <v>0</v>
      </c>
      <c r="K10" s="163">
        <v>0</v>
      </c>
      <c r="L10" s="163">
        <f>148-2</f>
        <v>146</v>
      </c>
      <c r="M10" s="164">
        <v>0</v>
      </c>
      <c r="N10" s="318" t="s">
        <v>1466</v>
      </c>
    </row>
    <row r="11" spans="1:14" ht="76">
      <c r="A11" s="544" t="s">
        <v>1225</v>
      </c>
      <c r="B11" s="36" t="s">
        <v>538</v>
      </c>
      <c r="C11" s="37" t="s">
        <v>218</v>
      </c>
      <c r="D11" s="39">
        <v>1</v>
      </c>
      <c r="E11" s="161">
        <v>0</v>
      </c>
      <c r="F11" s="162">
        <f t="shared" si="0"/>
        <v>50</v>
      </c>
      <c r="G11" s="163">
        <v>0</v>
      </c>
      <c r="H11" s="163">
        <v>0</v>
      </c>
      <c r="I11" s="163">
        <v>0</v>
      </c>
      <c r="J11" s="163">
        <v>50</v>
      </c>
      <c r="K11" s="163">
        <v>0</v>
      </c>
      <c r="L11" s="163">
        <v>0</v>
      </c>
      <c r="M11" s="164">
        <v>0</v>
      </c>
      <c r="N11" s="167" t="s">
        <v>1226</v>
      </c>
    </row>
    <row r="12" spans="1:14" ht="30.5" customHeight="1">
      <c r="A12" s="36" t="s">
        <v>1461</v>
      </c>
      <c r="B12" s="259" t="s">
        <v>1532</v>
      </c>
      <c r="C12" s="37" t="s">
        <v>218</v>
      </c>
      <c r="D12" s="39">
        <v>0.5</v>
      </c>
      <c r="E12" s="161">
        <v>0</v>
      </c>
      <c r="F12" s="162">
        <f t="shared" si="0"/>
        <v>55</v>
      </c>
      <c r="G12" s="163">
        <v>0</v>
      </c>
      <c r="H12" s="163">
        <v>0</v>
      </c>
      <c r="I12" s="163">
        <v>0</v>
      </c>
      <c r="J12" s="163">
        <v>55</v>
      </c>
      <c r="K12" s="163">
        <v>0</v>
      </c>
      <c r="L12" s="163">
        <v>0</v>
      </c>
      <c r="M12" s="164">
        <v>0</v>
      </c>
      <c r="N12" s="167" t="s">
        <v>1462</v>
      </c>
    </row>
    <row r="13" spans="1:14">
      <c r="A13" s="36" t="s">
        <v>217</v>
      </c>
      <c r="B13" s="259"/>
      <c r="C13" s="37" t="s">
        <v>218</v>
      </c>
      <c r="D13" s="39"/>
      <c r="E13" s="161">
        <v>0</v>
      </c>
      <c r="F13" s="162">
        <f t="shared" si="0"/>
        <v>0</v>
      </c>
      <c r="G13" s="163">
        <v>0</v>
      </c>
      <c r="H13" s="163">
        <v>0</v>
      </c>
      <c r="I13" s="163">
        <v>0</v>
      </c>
      <c r="J13" s="163">
        <v>0</v>
      </c>
      <c r="K13" s="163">
        <v>0</v>
      </c>
      <c r="L13" s="163">
        <v>0</v>
      </c>
      <c r="M13" s="164">
        <v>0</v>
      </c>
      <c r="N13" s="57"/>
    </row>
    <row r="14" spans="1:14">
      <c r="A14" s="36" t="s">
        <v>217</v>
      </c>
      <c r="B14" s="259"/>
      <c r="C14" s="37" t="s">
        <v>218</v>
      </c>
      <c r="D14" s="39"/>
      <c r="E14" s="161">
        <v>0</v>
      </c>
      <c r="F14" s="162">
        <f t="shared" si="0"/>
        <v>0</v>
      </c>
      <c r="G14" s="163">
        <v>0</v>
      </c>
      <c r="H14" s="163">
        <v>0</v>
      </c>
      <c r="I14" s="163">
        <v>0</v>
      </c>
      <c r="J14" s="163">
        <v>0</v>
      </c>
      <c r="K14" s="163">
        <v>0</v>
      </c>
      <c r="L14" s="163">
        <v>0</v>
      </c>
      <c r="M14" s="164">
        <v>0</v>
      </c>
      <c r="N14" s="57"/>
    </row>
    <row r="15" spans="1:14">
      <c r="A15" s="36" t="s">
        <v>217</v>
      </c>
      <c r="B15" s="260"/>
      <c r="C15" s="37" t="s">
        <v>218</v>
      </c>
      <c r="D15" s="39"/>
      <c r="E15" s="161">
        <v>0</v>
      </c>
      <c r="F15" s="162">
        <f t="shared" si="0"/>
        <v>0</v>
      </c>
      <c r="G15" s="163">
        <v>0</v>
      </c>
      <c r="H15" s="163">
        <v>0</v>
      </c>
      <c r="I15" s="163">
        <v>0</v>
      </c>
      <c r="J15" s="163">
        <v>0</v>
      </c>
      <c r="K15" s="163">
        <v>0</v>
      </c>
      <c r="L15" s="163">
        <v>0</v>
      </c>
      <c r="M15" s="164">
        <v>0</v>
      </c>
      <c r="N15" s="57"/>
    </row>
    <row r="16" spans="1:14">
      <c r="A16" s="40" t="s">
        <v>219</v>
      </c>
      <c r="B16" s="260"/>
      <c r="C16" s="261"/>
      <c r="D16" s="41">
        <f t="shared" ref="D16:M16" si="2">SUM(D7:D15)</f>
        <v>5.5</v>
      </c>
      <c r="E16" s="43">
        <f t="shared" si="2"/>
        <v>457</v>
      </c>
      <c r="F16" s="43">
        <f t="shared" si="2"/>
        <v>740</v>
      </c>
      <c r="G16" s="43">
        <f t="shared" si="2"/>
        <v>0</v>
      </c>
      <c r="H16" s="43">
        <f t="shared" si="2"/>
        <v>0</v>
      </c>
      <c r="I16" s="43">
        <f t="shared" si="2"/>
        <v>0</v>
      </c>
      <c r="J16" s="43">
        <f t="shared" si="2"/>
        <v>594</v>
      </c>
      <c r="K16" s="43">
        <f t="shared" si="2"/>
        <v>0</v>
      </c>
      <c r="L16" s="43">
        <f t="shared" si="2"/>
        <v>146</v>
      </c>
      <c r="M16" s="43">
        <f t="shared" si="2"/>
        <v>0</v>
      </c>
      <c r="N16" s="249"/>
    </row>
    <row r="17" spans="1:14">
      <c r="A17" s="67" t="s">
        <v>220</v>
      </c>
      <c r="B17" s="68"/>
      <c r="C17" s="69"/>
      <c r="D17" s="68"/>
      <c r="E17" s="68"/>
      <c r="F17" s="68"/>
      <c r="G17" s="68"/>
      <c r="H17" s="68"/>
      <c r="I17" s="68"/>
      <c r="J17" s="68"/>
      <c r="K17" s="68"/>
      <c r="L17" s="68"/>
      <c r="M17" s="68"/>
      <c r="N17" s="68"/>
    </row>
    <row r="18" spans="1:14">
      <c r="A18" s="259" t="s">
        <v>278</v>
      </c>
      <c r="B18" s="259"/>
      <c r="C18" s="44">
        <v>253</v>
      </c>
      <c r="D18" s="45"/>
      <c r="E18" s="161">
        <v>0</v>
      </c>
      <c r="F18" s="257">
        <f>SUM(G18:M18)</f>
        <v>0</v>
      </c>
      <c r="G18" s="163">
        <v>0</v>
      </c>
      <c r="H18" s="163">
        <v>0</v>
      </c>
      <c r="I18" s="163">
        <v>0</v>
      </c>
      <c r="J18" s="163">
        <v>0</v>
      </c>
      <c r="K18" s="163">
        <v>0</v>
      </c>
      <c r="L18" s="163">
        <v>0</v>
      </c>
      <c r="M18" s="164">
        <v>0</v>
      </c>
      <c r="N18" s="371"/>
    </row>
    <row r="19" spans="1:14">
      <c r="A19" s="259" t="s">
        <v>278</v>
      </c>
      <c r="B19" s="259"/>
      <c r="C19" s="44">
        <v>253</v>
      </c>
      <c r="D19" s="45"/>
      <c r="E19" s="161">
        <v>0</v>
      </c>
      <c r="F19" s="165">
        <f>SUM(G19:M19)</f>
        <v>0</v>
      </c>
      <c r="G19" s="163">
        <v>0</v>
      </c>
      <c r="H19" s="163">
        <v>0</v>
      </c>
      <c r="I19" s="163">
        <v>0</v>
      </c>
      <c r="J19" s="163">
        <v>0</v>
      </c>
      <c r="K19" s="163">
        <v>0</v>
      </c>
      <c r="L19" s="163">
        <v>0</v>
      </c>
      <c r="M19" s="164">
        <v>0</v>
      </c>
      <c r="N19" s="371"/>
    </row>
    <row r="20" spans="1:14">
      <c r="A20" s="259" t="s">
        <v>278</v>
      </c>
      <c r="B20" s="259"/>
      <c r="C20" s="44">
        <v>253</v>
      </c>
      <c r="D20" s="262"/>
      <c r="E20" s="161">
        <v>0</v>
      </c>
      <c r="F20" s="165">
        <f>SUM(G20:M20)</f>
        <v>0</v>
      </c>
      <c r="G20" s="163">
        <v>0</v>
      </c>
      <c r="H20" s="163">
        <v>0</v>
      </c>
      <c r="I20" s="163">
        <v>0</v>
      </c>
      <c r="J20" s="163">
        <v>0</v>
      </c>
      <c r="K20" s="163">
        <v>0</v>
      </c>
      <c r="L20" s="163">
        <v>0</v>
      </c>
      <c r="M20" s="164">
        <v>0</v>
      </c>
      <c r="N20" s="57"/>
    </row>
    <row r="21" spans="1:14" s="351" customFormat="1">
      <c r="A21" s="259" t="s">
        <v>278</v>
      </c>
      <c r="B21" s="259"/>
      <c r="C21" s="44">
        <v>253</v>
      </c>
      <c r="D21" s="262"/>
      <c r="E21" s="161">
        <v>0</v>
      </c>
      <c r="F21" s="165">
        <f>SUM(G21:M21)</f>
        <v>0</v>
      </c>
      <c r="G21" s="163">
        <v>0</v>
      </c>
      <c r="H21" s="163">
        <v>0</v>
      </c>
      <c r="I21" s="163">
        <v>0</v>
      </c>
      <c r="J21" s="163">
        <v>0</v>
      </c>
      <c r="K21" s="163">
        <v>0</v>
      </c>
      <c r="L21" s="163">
        <v>0</v>
      </c>
      <c r="M21" s="164">
        <v>0</v>
      </c>
      <c r="N21" s="36"/>
    </row>
    <row r="22" spans="1:14">
      <c r="A22" s="40" t="s">
        <v>225</v>
      </c>
      <c r="B22" s="260"/>
      <c r="C22" s="261"/>
      <c r="D22" s="262">
        <f>SUM(D18:D21)</f>
        <v>0</v>
      </c>
      <c r="E22" s="42">
        <f>SUM(E18:E21)</f>
        <v>0</v>
      </c>
      <c r="F22" s="43">
        <f>SUM(F18:F21)</f>
        <v>0</v>
      </c>
      <c r="G22" s="43">
        <f t="shared" ref="G22:M22" si="3">SUM(G18:G21)</f>
        <v>0</v>
      </c>
      <c r="H22" s="43">
        <f t="shared" si="3"/>
        <v>0</v>
      </c>
      <c r="I22" s="43">
        <f t="shared" si="3"/>
        <v>0</v>
      </c>
      <c r="J22" s="43">
        <f t="shared" si="3"/>
        <v>0</v>
      </c>
      <c r="K22" s="43">
        <f t="shared" si="3"/>
        <v>0</v>
      </c>
      <c r="L22" s="43">
        <f t="shared" si="3"/>
        <v>0</v>
      </c>
      <c r="M22" s="43">
        <f t="shared" si="3"/>
        <v>0</v>
      </c>
      <c r="N22" s="57"/>
    </row>
    <row r="23" spans="1:14" s="351" customFormat="1">
      <c r="A23" s="125" t="s">
        <v>279</v>
      </c>
      <c r="B23" s="126"/>
      <c r="C23" s="126"/>
      <c r="D23" s="126"/>
      <c r="E23" s="126"/>
      <c r="F23" s="126"/>
      <c r="G23" s="126"/>
      <c r="H23" s="126"/>
      <c r="I23" s="126"/>
      <c r="J23" s="126"/>
      <c r="K23" s="126"/>
      <c r="L23" s="126"/>
      <c r="M23" s="126"/>
      <c r="N23" s="166"/>
    </row>
    <row r="24" spans="1:14" ht="15" customHeight="1">
      <c r="A24" s="259" t="s">
        <v>227</v>
      </c>
      <c r="B24" s="36"/>
      <c r="C24" s="37" t="s">
        <v>228</v>
      </c>
      <c r="D24" s="38">
        <v>0</v>
      </c>
      <c r="E24" s="161">
        <v>15</v>
      </c>
      <c r="F24" s="169">
        <f>SUM(G24:M24)</f>
        <v>17</v>
      </c>
      <c r="G24" s="163">
        <v>0</v>
      </c>
      <c r="H24" s="163">
        <v>0</v>
      </c>
      <c r="I24" s="163">
        <v>0</v>
      </c>
      <c r="J24" s="163">
        <f>15+2</f>
        <v>17</v>
      </c>
      <c r="K24" s="163">
        <v>0</v>
      </c>
      <c r="L24" s="163">
        <v>0</v>
      </c>
      <c r="M24" s="164">
        <v>0</v>
      </c>
      <c r="N24" s="318" t="s">
        <v>1533</v>
      </c>
    </row>
    <row r="25" spans="1:14">
      <c r="A25" s="259" t="s">
        <v>229</v>
      </c>
      <c r="B25" s="36"/>
      <c r="C25" s="44" t="s">
        <v>230</v>
      </c>
      <c r="D25" s="45"/>
      <c r="E25" s="161">
        <v>0</v>
      </c>
      <c r="F25" s="162">
        <v>0</v>
      </c>
      <c r="G25" s="163">
        <v>0</v>
      </c>
      <c r="H25" s="163">
        <v>0</v>
      </c>
      <c r="I25" s="163">
        <v>0</v>
      </c>
      <c r="J25" s="163">
        <v>0</v>
      </c>
      <c r="K25" s="163">
        <v>0</v>
      </c>
      <c r="L25" s="163">
        <v>0</v>
      </c>
      <c r="M25" s="164">
        <v>0</v>
      </c>
      <c r="N25" s="57"/>
    </row>
    <row r="26" spans="1:14">
      <c r="A26" s="259" t="s">
        <v>231</v>
      </c>
      <c r="B26" s="36"/>
      <c r="C26" s="44" t="s">
        <v>232</v>
      </c>
      <c r="D26" s="45"/>
      <c r="E26" s="161">
        <v>0</v>
      </c>
      <c r="F26" s="162">
        <v>0</v>
      </c>
      <c r="G26" s="163">
        <v>0</v>
      </c>
      <c r="H26" s="163">
        <v>0</v>
      </c>
      <c r="I26" s="163">
        <v>0</v>
      </c>
      <c r="J26" s="163">
        <v>0</v>
      </c>
      <c r="K26" s="163">
        <v>0</v>
      </c>
      <c r="L26" s="163">
        <v>0</v>
      </c>
      <c r="M26" s="164">
        <v>0</v>
      </c>
      <c r="N26" s="57"/>
    </row>
    <row r="27" spans="1:14">
      <c r="A27" s="259" t="s">
        <v>233</v>
      </c>
      <c r="B27" s="36"/>
      <c r="C27" s="44" t="s">
        <v>234</v>
      </c>
      <c r="D27" s="45"/>
      <c r="E27" s="161">
        <v>0</v>
      </c>
      <c r="F27" s="162">
        <v>0</v>
      </c>
      <c r="G27" s="163">
        <v>0</v>
      </c>
      <c r="H27" s="163">
        <v>0</v>
      </c>
      <c r="I27" s="163">
        <v>0</v>
      </c>
      <c r="J27" s="163">
        <v>0</v>
      </c>
      <c r="K27" s="163">
        <v>0</v>
      </c>
      <c r="L27" s="163">
        <v>0</v>
      </c>
      <c r="M27" s="164">
        <v>0</v>
      </c>
      <c r="N27" s="57"/>
    </row>
    <row r="28" spans="1:14">
      <c r="A28" s="259" t="s">
        <v>235</v>
      </c>
      <c r="B28" s="36"/>
      <c r="C28" s="44">
        <v>251</v>
      </c>
      <c r="D28" s="45"/>
      <c r="E28" s="161">
        <v>0</v>
      </c>
      <c r="F28" s="162">
        <v>0</v>
      </c>
      <c r="G28" s="163">
        <v>0</v>
      </c>
      <c r="H28" s="163">
        <v>0</v>
      </c>
      <c r="I28" s="163">
        <v>0</v>
      </c>
      <c r="J28" s="163">
        <v>0</v>
      </c>
      <c r="K28" s="163">
        <v>0</v>
      </c>
      <c r="L28" s="163">
        <v>0</v>
      </c>
      <c r="M28" s="164">
        <v>0</v>
      </c>
      <c r="N28" s="57"/>
    </row>
    <row r="29" spans="1:14" ht="50">
      <c r="A29" s="94" t="s">
        <v>242</v>
      </c>
      <c r="B29" s="95"/>
      <c r="C29" s="96">
        <v>252</v>
      </c>
      <c r="D29" s="97"/>
      <c r="E29" s="168">
        <v>22</v>
      </c>
      <c r="F29" s="169">
        <f>SUM(G29:M29)</f>
        <v>22</v>
      </c>
      <c r="G29" s="170">
        <v>0</v>
      </c>
      <c r="H29" s="170">
        <v>0</v>
      </c>
      <c r="I29" s="170">
        <v>0</v>
      </c>
      <c r="J29" s="170">
        <v>0</v>
      </c>
      <c r="K29" s="170">
        <v>0</v>
      </c>
      <c r="L29" s="170">
        <v>22</v>
      </c>
      <c r="M29" s="171">
        <v>0</v>
      </c>
      <c r="N29" s="172" t="s">
        <v>340</v>
      </c>
    </row>
    <row r="30" spans="1:14" s="370" customFormat="1">
      <c r="A30" s="94" t="s">
        <v>242</v>
      </c>
      <c r="B30" s="95"/>
      <c r="C30" s="96">
        <v>252</v>
      </c>
      <c r="D30" s="97"/>
      <c r="E30" s="168">
        <v>25</v>
      </c>
      <c r="F30" s="169">
        <f>SUM(G30:M30)</f>
        <v>25</v>
      </c>
      <c r="G30" s="170">
        <v>0</v>
      </c>
      <c r="H30" s="170">
        <v>0</v>
      </c>
      <c r="I30" s="170">
        <v>0</v>
      </c>
      <c r="J30" s="170">
        <v>0</v>
      </c>
      <c r="K30" s="170">
        <v>0</v>
      </c>
      <c r="L30" s="170">
        <v>25</v>
      </c>
      <c r="M30" s="171">
        <v>0</v>
      </c>
      <c r="N30" s="172" t="s">
        <v>341</v>
      </c>
    </row>
    <row r="31" spans="1:14">
      <c r="A31" s="259" t="s">
        <v>243</v>
      </c>
      <c r="B31" s="36"/>
      <c r="C31" s="44">
        <v>252</v>
      </c>
      <c r="D31" s="45"/>
      <c r="E31" s="161">
        <v>0</v>
      </c>
      <c r="F31" s="162">
        <v>0</v>
      </c>
      <c r="G31" s="163">
        <v>0</v>
      </c>
      <c r="H31" s="163">
        <v>0</v>
      </c>
      <c r="I31" s="163">
        <v>0</v>
      </c>
      <c r="J31" s="163">
        <v>0</v>
      </c>
      <c r="K31" s="163">
        <v>0</v>
      </c>
      <c r="L31" s="163">
        <v>0</v>
      </c>
      <c r="M31" s="164">
        <v>0</v>
      </c>
      <c r="N31" s="57"/>
    </row>
    <row r="32" spans="1:14">
      <c r="A32" s="259" t="s">
        <v>244</v>
      </c>
      <c r="B32" s="36"/>
      <c r="C32" s="44">
        <v>253</v>
      </c>
      <c r="D32" s="259"/>
      <c r="E32" s="161">
        <v>0</v>
      </c>
      <c r="F32" s="162">
        <v>0</v>
      </c>
      <c r="G32" s="163">
        <v>0</v>
      </c>
      <c r="H32" s="163">
        <v>0</v>
      </c>
      <c r="I32" s="163">
        <v>0</v>
      </c>
      <c r="J32" s="163">
        <v>0</v>
      </c>
      <c r="K32" s="163">
        <v>0</v>
      </c>
      <c r="L32" s="163">
        <v>0</v>
      </c>
      <c r="M32" s="164">
        <v>0</v>
      </c>
      <c r="N32" s="57"/>
    </row>
    <row r="33" spans="1:14">
      <c r="A33" s="259" t="s">
        <v>245</v>
      </c>
      <c r="B33" s="36"/>
      <c r="C33" s="44">
        <v>255</v>
      </c>
      <c r="D33" s="259"/>
      <c r="E33" s="161">
        <v>0</v>
      </c>
      <c r="F33" s="162">
        <v>0</v>
      </c>
      <c r="G33" s="163">
        <v>0</v>
      </c>
      <c r="H33" s="163">
        <v>0</v>
      </c>
      <c r="I33" s="163">
        <v>0</v>
      </c>
      <c r="J33" s="163">
        <v>0</v>
      </c>
      <c r="K33" s="163">
        <v>0</v>
      </c>
      <c r="L33" s="163">
        <v>0</v>
      </c>
      <c r="M33" s="164">
        <v>0</v>
      </c>
      <c r="N33" s="57"/>
    </row>
    <row r="34" spans="1:14">
      <c r="A34" s="259" t="s">
        <v>246</v>
      </c>
      <c r="B34" s="36"/>
      <c r="C34" s="44">
        <v>256</v>
      </c>
      <c r="D34" s="259"/>
      <c r="E34" s="161">
        <v>0</v>
      </c>
      <c r="F34" s="162">
        <v>0</v>
      </c>
      <c r="G34" s="163">
        <v>0</v>
      </c>
      <c r="H34" s="163">
        <v>0</v>
      </c>
      <c r="I34" s="163">
        <v>0</v>
      </c>
      <c r="J34" s="163">
        <v>0</v>
      </c>
      <c r="K34" s="163">
        <v>0</v>
      </c>
      <c r="L34" s="163">
        <v>0</v>
      </c>
      <c r="M34" s="164">
        <v>0</v>
      </c>
      <c r="N34" s="57"/>
    </row>
    <row r="35" spans="1:14">
      <c r="A35" s="259" t="s">
        <v>247</v>
      </c>
      <c r="B35" s="36"/>
      <c r="C35" s="44">
        <v>257</v>
      </c>
      <c r="D35" s="259"/>
      <c r="E35" s="161">
        <v>0</v>
      </c>
      <c r="F35" s="162">
        <v>0</v>
      </c>
      <c r="G35" s="163">
        <v>0</v>
      </c>
      <c r="H35" s="163">
        <v>0</v>
      </c>
      <c r="I35" s="163">
        <v>0</v>
      </c>
      <c r="J35" s="163">
        <v>0</v>
      </c>
      <c r="K35" s="163">
        <v>0</v>
      </c>
      <c r="L35" s="163">
        <v>0</v>
      </c>
      <c r="M35" s="164">
        <v>0</v>
      </c>
      <c r="N35" s="57"/>
    </row>
    <row r="36" spans="1:14" ht="29">
      <c r="A36" s="259" t="s">
        <v>248</v>
      </c>
      <c r="B36" s="36"/>
      <c r="C36" s="44" t="s">
        <v>249</v>
      </c>
      <c r="D36" s="259"/>
      <c r="E36" s="161">
        <v>4</v>
      </c>
      <c r="F36" s="772">
        <f t="shared" ref="F36:F37" si="4">SUM(G36:M36)</f>
        <v>4</v>
      </c>
      <c r="G36" s="163">
        <v>0</v>
      </c>
      <c r="H36" s="163">
        <v>0</v>
      </c>
      <c r="I36" s="163">
        <v>0</v>
      </c>
      <c r="J36" s="163">
        <v>4</v>
      </c>
      <c r="K36" s="163">
        <v>0</v>
      </c>
      <c r="L36" s="163">
        <v>0</v>
      </c>
      <c r="M36" s="164">
        <v>0</v>
      </c>
      <c r="N36" s="318" t="s">
        <v>342</v>
      </c>
    </row>
    <row r="37" spans="1:14" ht="29">
      <c r="A37" s="260" t="s">
        <v>250</v>
      </c>
      <c r="B37" s="36"/>
      <c r="C37" s="261" t="s">
        <v>251</v>
      </c>
      <c r="D37" s="260"/>
      <c r="E37" s="161">
        <v>4</v>
      </c>
      <c r="F37" s="772">
        <f t="shared" si="4"/>
        <v>4</v>
      </c>
      <c r="G37" s="163">
        <v>0</v>
      </c>
      <c r="H37" s="163">
        <v>0</v>
      </c>
      <c r="I37" s="163">
        <v>0</v>
      </c>
      <c r="J37" s="163">
        <v>4</v>
      </c>
      <c r="K37" s="163">
        <v>0</v>
      </c>
      <c r="L37" s="163">
        <v>0</v>
      </c>
      <c r="M37" s="164">
        <v>0</v>
      </c>
      <c r="N37" s="318" t="s">
        <v>343</v>
      </c>
    </row>
    <row r="38" spans="1:14" s="370" customFormat="1" ht="29">
      <c r="A38" s="260" t="s">
        <v>252</v>
      </c>
      <c r="B38" s="378"/>
      <c r="C38" s="261" t="s">
        <v>253</v>
      </c>
      <c r="D38" s="260"/>
      <c r="E38" s="311">
        <v>-100</v>
      </c>
      <c r="F38" s="303">
        <f>SUM(G38:M38)</f>
        <v>0</v>
      </c>
      <c r="G38" s="163">
        <v>0</v>
      </c>
      <c r="H38" s="163">
        <v>0</v>
      </c>
      <c r="I38" s="163">
        <v>0</v>
      </c>
      <c r="J38" s="163">
        <f>527-779+252</f>
        <v>0</v>
      </c>
      <c r="K38" s="163">
        <v>0</v>
      </c>
      <c r="L38" s="163">
        <v>0</v>
      </c>
      <c r="M38" s="164">
        <v>0</v>
      </c>
      <c r="N38" s="318" t="s">
        <v>1561</v>
      </c>
    </row>
    <row r="39" spans="1:14">
      <c r="A39" s="40" t="s">
        <v>254</v>
      </c>
      <c r="B39" s="260"/>
      <c r="C39" s="261"/>
      <c r="D39" s="262"/>
      <c r="E39" s="42">
        <f>SUM(E24:E38)</f>
        <v>-30</v>
      </c>
      <c r="F39" s="43">
        <f>SUM(F24:F38)</f>
        <v>72</v>
      </c>
      <c r="G39" s="43">
        <f>SUM(G24:G38)</f>
        <v>0</v>
      </c>
      <c r="H39" s="43">
        <f t="shared" ref="H39:M39" si="5">SUM(H24:H38)</f>
        <v>0</v>
      </c>
      <c r="I39" s="43">
        <f t="shared" si="5"/>
        <v>0</v>
      </c>
      <c r="J39" s="43">
        <f t="shared" si="5"/>
        <v>25</v>
      </c>
      <c r="K39" s="43">
        <f t="shared" si="5"/>
        <v>0</v>
      </c>
      <c r="L39" s="43">
        <f t="shared" si="5"/>
        <v>47</v>
      </c>
      <c r="M39" s="43">
        <f t="shared" si="5"/>
        <v>0</v>
      </c>
      <c r="N39" s="57"/>
    </row>
    <row r="40" spans="1:14">
      <c r="A40" s="40" t="s">
        <v>255</v>
      </c>
      <c r="B40" s="51"/>
      <c r="C40" s="147"/>
      <c r="D40" s="262"/>
      <c r="E40" s="42">
        <v>0</v>
      </c>
      <c r="F40" s="235">
        <f>SUM(G40:L40)</f>
        <v>47</v>
      </c>
      <c r="G40" s="235"/>
      <c r="H40" s="235"/>
      <c r="I40" s="235"/>
      <c r="J40" s="235"/>
      <c r="K40" s="235"/>
      <c r="L40" s="235">
        <v>47</v>
      </c>
      <c r="M40" s="235"/>
      <c r="N40" s="318"/>
    </row>
    <row r="41" spans="1:14">
      <c r="A41" s="40" t="s">
        <v>256</v>
      </c>
      <c r="B41" s="46"/>
      <c r="C41" s="47"/>
      <c r="D41" s="175">
        <f>D39+D22+D16</f>
        <v>5.5</v>
      </c>
      <c r="E41" s="42">
        <f>+E39+E22+E16</f>
        <v>427</v>
      </c>
      <c r="F41" s="173">
        <f t="shared" ref="F41:M41" si="6">F39+F22+F16-F40</f>
        <v>765</v>
      </c>
      <c r="G41" s="173">
        <f t="shared" si="6"/>
        <v>0</v>
      </c>
      <c r="H41" s="173">
        <f t="shared" si="6"/>
        <v>0</v>
      </c>
      <c r="I41" s="173">
        <f t="shared" si="6"/>
        <v>0</v>
      </c>
      <c r="J41" s="173">
        <f t="shared" si="6"/>
        <v>619</v>
      </c>
      <c r="K41" s="173">
        <f t="shared" si="6"/>
        <v>0</v>
      </c>
      <c r="L41" s="173">
        <f t="shared" si="6"/>
        <v>146</v>
      </c>
      <c r="M41" s="173">
        <f t="shared" si="6"/>
        <v>0</v>
      </c>
      <c r="N41" s="174"/>
    </row>
    <row r="42" spans="1:14" s="370" customFormat="1">
      <c r="A42" s="56"/>
      <c r="C42" s="639"/>
      <c r="E42" s="257"/>
      <c r="H42" s="281"/>
    </row>
    <row r="44" spans="1:14" s="370" customFormat="1" ht="15" thickBot="1">
      <c r="A44" s="31"/>
      <c r="B44" s="31"/>
      <c r="C44" s="32"/>
      <c r="D44" s="31"/>
      <c r="E44" s="31"/>
      <c r="F44" s="31"/>
      <c r="G44" s="31"/>
      <c r="H44" s="31"/>
      <c r="I44" s="31"/>
      <c r="J44" s="31"/>
      <c r="K44" s="31"/>
      <c r="L44" s="31"/>
      <c r="M44" s="31"/>
      <c r="N44" s="536"/>
    </row>
    <row r="45" spans="1:14" s="370" customFormat="1" ht="15.5">
      <c r="A45" s="873" t="s">
        <v>257</v>
      </c>
      <c r="B45" s="874"/>
      <c r="C45" s="874"/>
      <c r="D45" s="874"/>
      <c r="E45" s="874"/>
      <c r="F45" s="874"/>
      <c r="G45" s="550"/>
      <c r="H45" s="31"/>
      <c r="I45" s="31"/>
      <c r="J45" s="31"/>
      <c r="K45" s="31"/>
      <c r="L45" s="31"/>
      <c r="M45" s="31"/>
      <c r="N45" s="536"/>
    </row>
    <row r="46" spans="1:14" s="370" customFormat="1" ht="15.5">
      <c r="A46" s="875"/>
      <c r="B46" s="876"/>
      <c r="C46" s="876"/>
      <c r="D46" s="876"/>
      <c r="E46" s="876"/>
      <c r="F46" s="876"/>
      <c r="G46" s="551"/>
      <c r="H46" s="31"/>
      <c r="I46" s="31"/>
      <c r="J46" s="31"/>
      <c r="K46" s="31"/>
      <c r="L46" s="31"/>
      <c r="M46" s="31"/>
      <c r="N46" s="536"/>
    </row>
    <row r="47" spans="1:14" s="370" customFormat="1">
      <c r="A47" s="877" t="s">
        <v>258</v>
      </c>
      <c r="B47" s="878"/>
      <c r="C47" s="552"/>
      <c r="D47" s="552"/>
      <c r="E47" s="552"/>
      <c r="F47" s="552"/>
      <c r="G47" s="551"/>
      <c r="H47" s="31"/>
      <c r="I47" s="31"/>
      <c r="J47" s="31"/>
      <c r="K47" s="31"/>
      <c r="L47" s="31"/>
      <c r="M47" s="31"/>
      <c r="N47" s="536"/>
    </row>
    <row r="48" spans="1:14" s="370" customFormat="1">
      <c r="A48" s="553" t="s">
        <v>1009</v>
      </c>
      <c r="B48" s="554">
        <f>+E41</f>
        <v>427</v>
      </c>
      <c r="C48" s="555"/>
      <c r="D48" s="556"/>
      <c r="E48" s="556"/>
      <c r="F48" s="556"/>
      <c r="G48" s="551"/>
      <c r="H48" s="31"/>
      <c r="I48" s="31"/>
      <c r="J48" s="31"/>
      <c r="K48" s="31"/>
      <c r="L48" s="31"/>
      <c r="M48" s="31"/>
      <c r="N48" s="536"/>
    </row>
    <row r="49" spans="1:14" s="370" customFormat="1">
      <c r="A49" s="557" t="s">
        <v>1010</v>
      </c>
      <c r="B49" s="558">
        <f>+F41</f>
        <v>765</v>
      </c>
      <c r="C49" s="555"/>
      <c r="D49" s="556"/>
      <c r="E49" s="556"/>
      <c r="F49" s="556"/>
      <c r="G49" s="551"/>
      <c r="H49" s="31"/>
      <c r="I49" s="31"/>
      <c r="J49" s="31"/>
      <c r="K49" s="31"/>
      <c r="L49" s="31"/>
      <c r="M49" s="31"/>
      <c r="N49" s="536"/>
    </row>
    <row r="50" spans="1:14" s="370" customFormat="1">
      <c r="A50" s="559" t="s">
        <v>259</v>
      </c>
      <c r="B50" s="560">
        <f>+B49-B48</f>
        <v>338</v>
      </c>
      <c r="C50" s="555"/>
      <c r="D50" s="556"/>
      <c r="E50" s="556"/>
      <c r="F50" s="556"/>
      <c r="G50" s="551"/>
      <c r="H50" s="31"/>
      <c r="I50" s="31"/>
      <c r="J50" s="31"/>
      <c r="K50" s="31"/>
      <c r="L50" s="31"/>
      <c r="M50" s="31"/>
      <c r="N50" s="536"/>
    </row>
    <row r="51" spans="1:14" s="370" customFormat="1">
      <c r="A51" s="559" t="s">
        <v>260</v>
      </c>
      <c r="B51" s="561">
        <f>+B50/B48</f>
        <v>0.79156908665105385</v>
      </c>
      <c r="C51" s="555"/>
      <c r="D51" s="556"/>
      <c r="E51" s="556"/>
      <c r="F51" s="556"/>
      <c r="G51" s="551"/>
      <c r="H51" s="31"/>
      <c r="I51" s="31"/>
      <c r="J51" s="31"/>
      <c r="K51" s="31"/>
      <c r="L51" s="31"/>
      <c r="M51" s="31"/>
      <c r="N51" s="536"/>
    </row>
    <row r="52" spans="1:14" s="370" customFormat="1">
      <c r="A52" s="562"/>
      <c r="B52" s="556"/>
      <c r="C52" s="638"/>
      <c r="D52" s="556"/>
      <c r="E52" s="556"/>
      <c r="F52" s="556"/>
      <c r="G52" s="551"/>
      <c r="H52" s="31"/>
      <c r="I52" s="31"/>
      <c r="J52" s="31"/>
      <c r="K52" s="31"/>
      <c r="L52" s="31"/>
      <c r="M52" s="31"/>
      <c r="N52" s="536"/>
    </row>
    <row r="53" spans="1:14" s="370" customFormat="1">
      <c r="A53" s="879" t="s">
        <v>261</v>
      </c>
      <c r="B53" s="880"/>
      <c r="C53" s="880"/>
      <c r="D53" s="880"/>
      <c r="E53" s="880"/>
      <c r="F53" s="880"/>
      <c r="G53" s="551"/>
      <c r="H53" s="31"/>
      <c r="I53" s="31"/>
      <c r="J53" s="31"/>
      <c r="K53" s="31"/>
      <c r="L53" s="31"/>
      <c r="M53" s="31"/>
      <c r="N53" s="536"/>
    </row>
    <row r="54" spans="1:14" s="370" customFormat="1">
      <c r="A54" s="881"/>
      <c r="B54" s="882"/>
      <c r="C54" s="882"/>
      <c r="D54" s="882"/>
      <c r="E54" s="882"/>
      <c r="F54" s="883"/>
      <c r="G54" s="551"/>
      <c r="H54" s="31"/>
      <c r="I54" s="31"/>
      <c r="J54" s="31"/>
      <c r="K54" s="31"/>
      <c r="L54" s="31"/>
      <c r="M54" s="31"/>
      <c r="N54" s="536"/>
    </row>
    <row r="55" spans="1:14" s="370" customFormat="1">
      <c r="A55" s="563"/>
      <c r="B55" s="564"/>
      <c r="C55" s="564"/>
      <c r="D55" s="564"/>
      <c r="E55" s="564"/>
      <c r="F55" s="564"/>
      <c r="G55" s="551"/>
      <c r="H55" s="31"/>
      <c r="I55" s="31"/>
      <c r="J55" s="31"/>
      <c r="K55" s="31"/>
      <c r="L55" s="31"/>
      <c r="M55" s="31"/>
      <c r="N55" s="536"/>
    </row>
    <row r="56" spans="1:14" s="370" customFormat="1">
      <c r="A56" s="565" t="s">
        <v>262</v>
      </c>
      <c r="B56" s="556"/>
      <c r="C56" s="638"/>
      <c r="D56" s="556"/>
      <c r="E56" s="556"/>
      <c r="F56" s="556"/>
      <c r="G56" s="551"/>
      <c r="H56" s="31"/>
      <c r="I56" s="31"/>
      <c r="J56" s="31"/>
      <c r="K56" s="31"/>
      <c r="L56" s="31"/>
      <c r="M56" s="31"/>
      <c r="N56" s="536"/>
    </row>
    <row r="57" spans="1:14" s="370" customFormat="1">
      <c r="A57" s="884"/>
      <c r="B57" s="885"/>
      <c r="C57" s="885"/>
      <c r="D57" s="885"/>
      <c r="E57" s="885"/>
      <c r="F57" s="886"/>
      <c r="G57" s="551"/>
      <c r="H57" s="31"/>
      <c r="I57" s="31"/>
      <c r="J57" s="31"/>
      <c r="K57" s="31"/>
      <c r="L57" s="31"/>
      <c r="M57" s="31"/>
      <c r="N57" s="536"/>
    </row>
    <row r="58" spans="1:14" s="370" customFormat="1">
      <c r="A58" s="562"/>
      <c r="B58" s="556"/>
      <c r="C58" s="638"/>
      <c r="D58" s="556"/>
      <c r="E58" s="556"/>
      <c r="F58" s="556"/>
      <c r="G58" s="551"/>
      <c r="H58" s="31"/>
      <c r="I58" s="31"/>
      <c r="J58" s="31"/>
      <c r="K58" s="31"/>
      <c r="L58" s="31"/>
      <c r="M58" s="31"/>
      <c r="N58" s="536"/>
    </row>
    <row r="59" spans="1:14" s="370" customFormat="1">
      <c r="A59" s="879" t="s">
        <v>1020</v>
      </c>
      <c r="B59" s="880"/>
      <c r="C59" s="880"/>
      <c r="D59" s="880"/>
      <c r="E59" s="880"/>
      <c r="F59" s="880"/>
      <c r="G59" s="551"/>
      <c r="H59" s="31"/>
      <c r="I59" s="31"/>
      <c r="J59" s="31"/>
      <c r="K59" s="31"/>
      <c r="L59" s="31"/>
      <c r="M59" s="31"/>
      <c r="N59" s="536"/>
    </row>
    <row r="60" spans="1:14" s="370" customFormat="1">
      <c r="A60" s="898" t="s">
        <v>1021</v>
      </c>
      <c r="B60" s="899"/>
      <c r="C60" s="899"/>
      <c r="D60" s="899"/>
      <c r="E60" s="899"/>
      <c r="F60" s="899"/>
      <c r="G60" s="551"/>
      <c r="H60" s="31"/>
      <c r="I60" s="31"/>
      <c r="J60" s="31"/>
      <c r="K60" s="31"/>
      <c r="L60" s="31"/>
      <c r="M60" s="31"/>
      <c r="N60" s="536"/>
    </row>
    <row r="61" spans="1:14" s="370" customFormat="1">
      <c r="A61" s="884"/>
      <c r="B61" s="885"/>
      <c r="C61" s="885"/>
      <c r="D61" s="885"/>
      <c r="E61" s="885"/>
      <c r="F61" s="886"/>
      <c r="G61" s="551"/>
      <c r="H61" s="31"/>
      <c r="I61" s="31"/>
      <c r="J61" s="31"/>
      <c r="K61" s="31"/>
      <c r="L61" s="31"/>
      <c r="M61" s="31"/>
      <c r="N61" s="536"/>
    </row>
    <row r="62" spans="1:14" s="370" customFormat="1">
      <c r="A62" s="565"/>
      <c r="B62" s="556"/>
      <c r="C62" s="638"/>
      <c r="D62" s="556"/>
      <c r="E62" s="556"/>
      <c r="F62" s="556"/>
      <c r="G62" s="551"/>
      <c r="H62" s="31"/>
      <c r="I62" s="31"/>
      <c r="J62" s="31"/>
      <c r="K62" s="31"/>
      <c r="L62" s="31"/>
      <c r="M62" s="31"/>
      <c r="N62" s="536"/>
    </row>
    <row r="63" spans="1:14" s="370" customFormat="1">
      <c r="A63" s="879" t="s">
        <v>264</v>
      </c>
      <c r="B63" s="880"/>
      <c r="C63" s="880"/>
      <c r="D63" s="880"/>
      <c r="E63" s="880"/>
      <c r="F63" s="556"/>
      <c r="G63" s="551"/>
      <c r="H63" s="31"/>
      <c r="I63" s="31"/>
      <c r="J63" s="31"/>
      <c r="K63" s="31"/>
      <c r="L63" s="31"/>
      <c r="M63" s="31"/>
      <c r="N63" s="536"/>
    </row>
    <row r="64" spans="1:14" s="370" customFormat="1">
      <c r="A64" s="889"/>
      <c r="B64" s="890"/>
      <c r="C64" s="890"/>
      <c r="D64" s="890"/>
      <c r="E64" s="890"/>
      <c r="F64" s="891"/>
      <c r="G64" s="551"/>
      <c r="H64" s="31"/>
      <c r="I64" s="31"/>
      <c r="J64" s="31"/>
      <c r="K64" s="31"/>
      <c r="L64" s="31"/>
      <c r="M64" s="31"/>
      <c r="N64" s="536"/>
    </row>
    <row r="65" spans="1:14" s="370" customFormat="1">
      <c r="A65" s="562"/>
      <c r="B65" s="556"/>
      <c r="C65" s="638"/>
      <c r="D65" s="556"/>
      <c r="E65" s="556"/>
      <c r="F65" s="556"/>
      <c r="G65" s="551"/>
      <c r="H65" s="31"/>
      <c r="I65" s="31"/>
      <c r="J65" s="31"/>
      <c r="K65" s="31"/>
      <c r="L65" s="31"/>
      <c r="M65" s="31"/>
      <c r="N65" s="536"/>
    </row>
    <row r="66" spans="1:14" s="370" customFormat="1">
      <c r="A66" s="565" t="s">
        <v>265</v>
      </c>
      <c r="B66" s="556"/>
      <c r="C66" s="638"/>
      <c r="D66" s="556"/>
      <c r="E66" s="556"/>
      <c r="F66" s="556"/>
      <c r="G66" s="551"/>
      <c r="H66" s="31"/>
      <c r="I66" s="31"/>
      <c r="J66" s="31"/>
      <c r="K66" s="31"/>
      <c r="L66" s="31"/>
      <c r="M66" s="31"/>
      <c r="N66" s="536"/>
    </row>
    <row r="67" spans="1:14" s="370" customFormat="1">
      <c r="A67" s="566" t="s">
        <v>266</v>
      </c>
      <c r="B67" s="556"/>
      <c r="C67" s="638"/>
      <c r="D67" s="556"/>
      <c r="E67" s="556"/>
      <c r="F67" s="556"/>
      <c r="G67" s="551"/>
      <c r="H67" s="31"/>
      <c r="I67" s="31"/>
      <c r="J67" s="31"/>
      <c r="K67" s="31"/>
      <c r="L67" s="31"/>
      <c r="M67" s="31"/>
      <c r="N67" s="536"/>
    </row>
    <row r="68" spans="1:14" s="370" customFormat="1" ht="31.5" customHeight="1">
      <c r="A68" s="892" t="s">
        <v>1030</v>
      </c>
      <c r="B68" s="893"/>
      <c r="C68" s="893"/>
      <c r="D68" s="893"/>
      <c r="E68" s="893"/>
      <c r="F68" s="893"/>
      <c r="G68" s="551"/>
      <c r="H68" s="31"/>
      <c r="I68" s="31"/>
      <c r="J68" s="31"/>
      <c r="K68" s="31"/>
      <c r="L68" s="31"/>
      <c r="M68" s="31"/>
      <c r="N68" s="536"/>
    </row>
    <row r="69" spans="1:14" s="370" customFormat="1">
      <c r="A69" s="903"/>
      <c r="B69" s="904"/>
      <c r="C69" s="904"/>
      <c r="D69" s="904"/>
      <c r="E69" s="904"/>
      <c r="F69" s="905"/>
      <c r="G69" s="551"/>
      <c r="H69" s="31"/>
      <c r="I69" s="31"/>
      <c r="J69" s="31"/>
      <c r="K69" s="31"/>
      <c r="L69" s="31"/>
      <c r="M69" s="31"/>
      <c r="N69" s="536"/>
    </row>
    <row r="70" spans="1:14" s="370" customFormat="1">
      <c r="A70" s="894"/>
      <c r="B70" s="895"/>
      <c r="C70" s="895"/>
      <c r="D70" s="895"/>
      <c r="E70" s="895"/>
      <c r="F70" s="895"/>
      <c r="G70" s="551"/>
      <c r="H70" s="31"/>
      <c r="I70" s="31"/>
      <c r="J70" s="31"/>
      <c r="K70" s="31"/>
      <c r="L70" s="31"/>
      <c r="M70" s="31"/>
      <c r="N70" s="536"/>
    </row>
    <row r="71" spans="1:14" s="370" customFormat="1">
      <c r="A71" s="566" t="s">
        <v>268</v>
      </c>
      <c r="B71" s="556"/>
      <c r="C71" s="638"/>
      <c r="D71" s="556"/>
      <c r="E71" s="556"/>
      <c r="F71" s="556"/>
      <c r="G71" s="551"/>
      <c r="H71" s="31"/>
      <c r="I71" s="31"/>
      <c r="J71" s="31"/>
      <c r="K71" s="31"/>
      <c r="L71" s="31"/>
      <c r="M71" s="31"/>
      <c r="N71" s="536"/>
    </row>
    <row r="72" spans="1:14" s="370" customFormat="1" ht="40" customHeight="1">
      <c r="A72" s="896" t="s">
        <v>269</v>
      </c>
      <c r="B72" s="897"/>
      <c r="C72" s="897"/>
      <c r="D72" s="897"/>
      <c r="E72" s="897"/>
      <c r="F72" s="897"/>
      <c r="G72" s="551"/>
      <c r="H72" s="31"/>
      <c r="I72" s="31"/>
      <c r="J72" s="31"/>
      <c r="K72" s="31"/>
      <c r="L72" s="31"/>
      <c r="M72" s="31"/>
      <c r="N72" s="536"/>
    </row>
    <row r="73" spans="1:14" s="370" customFormat="1">
      <c r="A73" s="889"/>
      <c r="B73" s="890"/>
      <c r="C73" s="890"/>
      <c r="D73" s="890"/>
      <c r="E73" s="890"/>
      <c r="F73" s="891"/>
      <c r="G73" s="551"/>
      <c r="H73" s="31"/>
      <c r="I73" s="31"/>
      <c r="J73" s="31"/>
      <c r="K73" s="31"/>
      <c r="L73" s="31"/>
      <c r="M73" s="31"/>
      <c r="N73" s="536"/>
    </row>
    <row r="74" spans="1:14" s="370" customFormat="1" ht="15" thickBot="1">
      <c r="A74" s="567"/>
      <c r="B74" s="568"/>
      <c r="C74" s="569"/>
      <c r="D74" s="568"/>
      <c r="E74" s="568"/>
      <c r="F74" s="568"/>
      <c r="G74" s="570"/>
      <c r="H74" s="31"/>
      <c r="I74" s="31"/>
      <c r="J74" s="31"/>
      <c r="K74" s="31"/>
      <c r="L74" s="31"/>
      <c r="M74" s="31"/>
      <c r="N74" s="536"/>
    </row>
    <row r="75" spans="1:14" s="370" customFormat="1">
      <c r="A75" s="31"/>
      <c r="B75" s="31"/>
      <c r="C75" s="32"/>
      <c r="D75" s="31"/>
      <c r="E75" s="31"/>
      <c r="F75" s="31"/>
      <c r="G75" s="31"/>
      <c r="H75" s="31"/>
      <c r="I75" s="31"/>
      <c r="J75" s="31"/>
      <c r="K75" s="31"/>
      <c r="L75" s="31"/>
      <c r="M75" s="31"/>
      <c r="N75" s="536"/>
    </row>
  </sheetData>
  <mergeCells count="17">
    <mergeCell ref="A72:F72"/>
    <mergeCell ref="A73:F73"/>
    <mergeCell ref="A63:E63"/>
    <mergeCell ref="A64:F64"/>
    <mergeCell ref="A68:F68"/>
    <mergeCell ref="A69:F69"/>
    <mergeCell ref="A70:F70"/>
    <mergeCell ref="A54:F54"/>
    <mergeCell ref="A57:F57"/>
    <mergeCell ref="A59:F59"/>
    <mergeCell ref="A60:F60"/>
    <mergeCell ref="A61:F61"/>
    <mergeCell ref="A1:N1"/>
    <mergeCell ref="A45:F45"/>
    <mergeCell ref="A46:F46"/>
    <mergeCell ref="A47:B47"/>
    <mergeCell ref="A53:F53"/>
  </mergeCells>
  <printOptions horizontalCentered="1"/>
  <pageMargins left="0.2" right="0.2" top="0.75" bottom="0.75" header="0.3" footer="0.3"/>
  <pageSetup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pageSetUpPr fitToPage="1"/>
  </sheetPr>
  <dimension ref="A1:N104"/>
  <sheetViews>
    <sheetView zoomScale="60" zoomScaleNormal="60" workbookViewId="0">
      <selection sqref="A1:N1"/>
    </sheetView>
  </sheetViews>
  <sheetFormatPr defaultRowHeight="14.5"/>
  <cols>
    <col min="1" max="1" width="37.81640625" customWidth="1"/>
    <col min="2" max="2" width="16" customWidth="1"/>
    <col min="3" max="3" width="7.7265625" style="30" customWidth="1"/>
    <col min="4" max="4" width="8.7265625" customWidth="1"/>
    <col min="5" max="5" width="10.7265625" customWidth="1"/>
    <col min="6" max="7" width="11" customWidth="1"/>
    <col min="8" max="8" width="10.7265625" bestFit="1" customWidth="1"/>
    <col min="9" max="10" width="7.1796875" customWidth="1"/>
    <col min="11" max="11" width="7.7265625" customWidth="1"/>
    <col min="12" max="12" width="9.7265625" customWidth="1"/>
    <col min="13" max="13" width="9.1796875" customWidth="1"/>
    <col min="14" max="14" width="40.54296875" customWidth="1"/>
  </cols>
  <sheetData>
    <row r="1" spans="1:14" ht="15.5">
      <c r="A1" s="854" t="s">
        <v>346</v>
      </c>
      <c r="B1" s="854"/>
      <c r="C1" s="854"/>
      <c r="D1" s="854"/>
      <c r="E1" s="854"/>
      <c r="F1" s="854"/>
      <c r="G1" s="854"/>
      <c r="H1" s="854"/>
      <c r="I1" s="854"/>
      <c r="J1" s="854"/>
      <c r="K1" s="854"/>
      <c r="L1" s="854"/>
      <c r="M1" s="854"/>
      <c r="N1" s="854"/>
    </row>
    <row r="2" spans="1:14">
      <c r="A2" s="702" t="s">
        <v>347</v>
      </c>
      <c r="B2" s="29"/>
      <c r="C2" s="639"/>
      <c r="D2" s="370"/>
      <c r="E2" s="370"/>
      <c r="F2" s="370"/>
      <c r="G2" s="370"/>
      <c r="H2" s="370"/>
      <c r="I2" s="370"/>
      <c r="J2" s="370"/>
      <c r="K2" s="370"/>
      <c r="L2" s="370"/>
      <c r="M2" s="370"/>
      <c r="N2" s="370"/>
    </row>
    <row r="3" spans="1:14">
      <c r="A3" s="506" t="s">
        <v>348</v>
      </c>
      <c r="B3" s="370"/>
      <c r="C3" s="639"/>
      <c r="D3" s="370"/>
      <c r="E3" s="370"/>
      <c r="F3" s="370"/>
      <c r="G3" s="29"/>
      <c r="H3" s="451" t="s">
        <v>210</v>
      </c>
      <c r="I3" s="370"/>
      <c r="J3" s="370"/>
      <c r="K3" s="370"/>
      <c r="L3" s="370"/>
      <c r="M3" s="370"/>
      <c r="N3" s="370"/>
    </row>
    <row r="4" spans="1:14">
      <c r="A4" s="506" t="s">
        <v>349</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c r="E8" s="258">
        <v>0</v>
      </c>
      <c r="F8" s="303">
        <f>SUM(G8:M8)</f>
        <v>0</v>
      </c>
      <c r="G8" s="304">
        <v>0</v>
      </c>
      <c r="H8" s="304">
        <v>0</v>
      </c>
      <c r="I8" s="304">
        <v>0</v>
      </c>
      <c r="J8" s="304">
        <v>0</v>
      </c>
      <c r="K8" s="304">
        <v>0</v>
      </c>
      <c r="L8" s="304">
        <v>0</v>
      </c>
      <c r="M8" s="305">
        <v>0</v>
      </c>
      <c r="N8" s="348"/>
    </row>
    <row r="9" spans="1:14" ht="15" customHeight="1">
      <c r="A9" s="36" t="s">
        <v>217</v>
      </c>
      <c r="B9" s="259"/>
      <c r="C9" s="37" t="s">
        <v>218</v>
      </c>
      <c r="D9" s="39"/>
      <c r="E9" s="258">
        <v>0</v>
      </c>
      <c r="F9" s="303">
        <f>SUM(G9:M9)</f>
        <v>0</v>
      </c>
      <c r="G9" s="304">
        <v>0</v>
      </c>
      <c r="H9" s="304">
        <v>0</v>
      </c>
      <c r="I9" s="304">
        <v>0</v>
      </c>
      <c r="J9" s="304">
        <v>0</v>
      </c>
      <c r="K9" s="304">
        <v>0</v>
      </c>
      <c r="L9" s="304">
        <v>0</v>
      </c>
      <c r="M9" s="305">
        <v>0</v>
      </c>
      <c r="N9" s="348"/>
    </row>
    <row r="10" spans="1:14">
      <c r="A10" s="36" t="s">
        <v>217</v>
      </c>
      <c r="B10" s="259"/>
      <c r="C10" s="37" t="s">
        <v>218</v>
      </c>
      <c r="D10" s="39"/>
      <c r="E10" s="258">
        <v>0</v>
      </c>
      <c r="F10" s="303">
        <f>SUM(G10:M10)</f>
        <v>0</v>
      </c>
      <c r="G10" s="304">
        <v>0</v>
      </c>
      <c r="H10" s="304">
        <v>0</v>
      </c>
      <c r="I10" s="304">
        <v>0</v>
      </c>
      <c r="J10" s="304">
        <v>0</v>
      </c>
      <c r="K10" s="304">
        <v>0</v>
      </c>
      <c r="L10" s="304">
        <v>0</v>
      </c>
      <c r="M10" s="305">
        <v>0</v>
      </c>
      <c r="N10" s="348"/>
    </row>
    <row r="11" spans="1:14">
      <c r="A11" s="36" t="s">
        <v>217</v>
      </c>
      <c r="B11" s="260"/>
      <c r="C11" s="37" t="s">
        <v>218</v>
      </c>
      <c r="D11" s="39"/>
      <c r="E11" s="258">
        <v>0</v>
      </c>
      <c r="F11" s="303">
        <f>SUM(G11:M11)</f>
        <v>0</v>
      </c>
      <c r="G11" s="304">
        <v>0</v>
      </c>
      <c r="H11" s="304">
        <v>0</v>
      </c>
      <c r="I11" s="304">
        <v>0</v>
      </c>
      <c r="J11" s="304">
        <v>0</v>
      </c>
      <c r="K11" s="304">
        <v>0</v>
      </c>
      <c r="L11" s="304">
        <v>0</v>
      </c>
      <c r="M11" s="305">
        <v>0</v>
      </c>
      <c r="N11" s="348"/>
    </row>
    <row r="12" spans="1:14">
      <c r="A12" s="40" t="s">
        <v>219</v>
      </c>
      <c r="B12" s="260"/>
      <c r="C12" s="261"/>
      <c r="D12" s="41">
        <f t="shared" ref="D12:M12" si="0">SUM(D7:D11)</f>
        <v>0</v>
      </c>
      <c r="E12" s="42">
        <v>0</v>
      </c>
      <c r="F12" s="43">
        <f t="shared" si="0"/>
        <v>0</v>
      </c>
      <c r="G12" s="43">
        <f t="shared" si="0"/>
        <v>0</v>
      </c>
      <c r="H12" s="43">
        <f t="shared" si="0"/>
        <v>0</v>
      </c>
      <c r="I12" s="43">
        <f t="shared" si="0"/>
        <v>0</v>
      </c>
      <c r="J12" s="43">
        <f t="shared" si="0"/>
        <v>0</v>
      </c>
      <c r="K12" s="43">
        <f t="shared" si="0"/>
        <v>0</v>
      </c>
      <c r="L12" s="43">
        <f t="shared" si="0"/>
        <v>0</v>
      </c>
      <c r="M12" s="43">
        <f t="shared" si="0"/>
        <v>0</v>
      </c>
      <c r="N12" s="249"/>
    </row>
    <row r="13" spans="1:14">
      <c r="A13" s="125" t="s">
        <v>220</v>
      </c>
      <c r="B13" s="126"/>
      <c r="C13" s="127"/>
      <c r="D13" s="126"/>
      <c r="E13" s="126"/>
      <c r="F13" s="87"/>
      <c r="G13" s="87"/>
      <c r="H13" s="87"/>
      <c r="I13" s="87"/>
      <c r="J13" s="87"/>
      <c r="K13" s="87"/>
      <c r="L13" s="87"/>
      <c r="M13" s="87"/>
      <c r="N13" s="87"/>
    </row>
    <row r="14" spans="1:14" ht="393.4" customHeight="1">
      <c r="A14" s="71" t="s">
        <v>350</v>
      </c>
      <c r="B14" s="259" t="s">
        <v>351</v>
      </c>
      <c r="C14" s="44">
        <v>253</v>
      </c>
      <c r="D14" s="45"/>
      <c r="E14" s="258">
        <v>800</v>
      </c>
      <c r="F14" s="303">
        <f>SUM(G14:M14)</f>
        <v>1000</v>
      </c>
      <c r="G14" s="304">
        <v>0</v>
      </c>
      <c r="H14" s="304">
        <v>0</v>
      </c>
      <c r="I14" s="304">
        <v>0</v>
      </c>
      <c r="J14" s="304">
        <v>0</v>
      </c>
      <c r="K14" s="304">
        <v>0</v>
      </c>
      <c r="L14" s="304">
        <v>1000</v>
      </c>
      <c r="M14" s="305">
        <v>0</v>
      </c>
      <c r="N14" s="521" t="s">
        <v>352</v>
      </c>
    </row>
    <row r="15" spans="1:14" s="370" customFormat="1" ht="87">
      <c r="A15" s="530" t="s">
        <v>956</v>
      </c>
      <c r="B15" s="530" t="s">
        <v>351</v>
      </c>
      <c r="C15" s="597">
        <v>253</v>
      </c>
      <c r="D15" s="262"/>
      <c r="E15" s="258">
        <v>692</v>
      </c>
      <c r="F15" s="303">
        <f>SUM(G15:M15)</f>
        <v>200</v>
      </c>
      <c r="G15" s="304">
        <v>0</v>
      </c>
      <c r="H15" s="304">
        <v>0</v>
      </c>
      <c r="I15" s="304">
        <v>0</v>
      </c>
      <c r="J15" s="304">
        <v>0</v>
      </c>
      <c r="K15" s="304">
        <v>0</v>
      </c>
      <c r="L15" s="304">
        <v>200</v>
      </c>
      <c r="M15" s="305">
        <v>0</v>
      </c>
      <c r="N15" s="98" t="s">
        <v>1589</v>
      </c>
    </row>
    <row r="16" spans="1:14" s="370" customFormat="1" ht="29">
      <c r="A16" s="544" t="s">
        <v>1319</v>
      </c>
      <c r="B16" s="259"/>
      <c r="C16" s="44">
        <v>253</v>
      </c>
      <c r="D16" s="45"/>
      <c r="E16" s="258">
        <v>160</v>
      </c>
      <c r="F16" s="303">
        <f>SUM(G16:M16)</f>
        <v>70</v>
      </c>
      <c r="G16" s="304">
        <v>0</v>
      </c>
      <c r="H16" s="304">
        <v>0</v>
      </c>
      <c r="I16" s="304">
        <v>0</v>
      </c>
      <c r="J16" s="304">
        <v>0</v>
      </c>
      <c r="K16" s="304">
        <v>70</v>
      </c>
      <c r="L16" s="304">
        <v>0</v>
      </c>
      <c r="M16" s="305">
        <v>0</v>
      </c>
      <c r="N16" s="98" t="s">
        <v>1571</v>
      </c>
    </row>
    <row r="17" spans="1:14" s="370" customFormat="1" ht="43.5" customHeight="1">
      <c r="A17" s="544" t="s">
        <v>1320</v>
      </c>
      <c r="B17" s="530"/>
      <c r="C17" s="597">
        <v>253</v>
      </c>
      <c r="D17" s="262"/>
      <c r="E17" s="258">
        <v>0</v>
      </c>
      <c r="F17" s="350">
        <f>SUM(G17:M17)</f>
        <v>98</v>
      </c>
      <c r="G17" s="304">
        <v>0</v>
      </c>
      <c r="H17" s="363">
        <v>0</v>
      </c>
      <c r="I17" s="304">
        <v>0</v>
      </c>
      <c r="J17" s="304">
        <v>0</v>
      </c>
      <c r="K17" s="304">
        <v>98</v>
      </c>
      <c r="L17" s="304">
        <v>0</v>
      </c>
      <c r="M17" s="305">
        <v>0</v>
      </c>
      <c r="N17" s="98" t="s">
        <v>1570</v>
      </c>
    </row>
    <row r="18" spans="1:14" s="370" customFormat="1">
      <c r="A18" s="530" t="s">
        <v>224</v>
      </c>
      <c r="B18" s="530"/>
      <c r="C18" s="597">
        <v>253</v>
      </c>
      <c r="D18" s="262"/>
      <c r="E18" s="258">
        <v>0</v>
      </c>
      <c r="F18" s="303">
        <f>SUM(G18:M18)</f>
        <v>0</v>
      </c>
      <c r="G18" s="304">
        <v>0</v>
      </c>
      <c r="H18" s="304">
        <v>0</v>
      </c>
      <c r="I18" s="304">
        <v>0</v>
      </c>
      <c r="J18" s="304">
        <v>0</v>
      </c>
      <c r="K18" s="304">
        <v>0</v>
      </c>
      <c r="L18" s="304">
        <v>0</v>
      </c>
      <c r="M18" s="305">
        <v>0</v>
      </c>
      <c r="N18" s="98"/>
    </row>
    <row r="19" spans="1:14">
      <c r="A19" s="40" t="s">
        <v>225</v>
      </c>
      <c r="B19" s="260"/>
      <c r="C19" s="261"/>
      <c r="D19" s="262">
        <f t="shared" ref="D19:M19" si="1">SUM(D14:D18)</f>
        <v>0</v>
      </c>
      <c r="E19" s="42">
        <f t="shared" si="1"/>
        <v>1652</v>
      </c>
      <c r="F19" s="43">
        <f t="shared" si="1"/>
        <v>1368</v>
      </c>
      <c r="G19" s="43">
        <f t="shared" si="1"/>
        <v>0</v>
      </c>
      <c r="H19" s="43">
        <f t="shared" si="1"/>
        <v>0</v>
      </c>
      <c r="I19" s="43">
        <f t="shared" si="1"/>
        <v>0</v>
      </c>
      <c r="J19" s="43">
        <f t="shared" si="1"/>
        <v>0</v>
      </c>
      <c r="K19" s="43">
        <f t="shared" si="1"/>
        <v>168</v>
      </c>
      <c r="L19" s="43">
        <f t="shared" si="1"/>
        <v>1200</v>
      </c>
      <c r="M19" s="43">
        <f t="shared" si="1"/>
        <v>0</v>
      </c>
      <c r="N19" s="348"/>
    </row>
    <row r="20" spans="1:14" s="7" customFormat="1">
      <c r="A20" s="125" t="s">
        <v>279</v>
      </c>
      <c r="B20" s="126"/>
      <c r="C20" s="127"/>
      <c r="D20" s="126"/>
      <c r="E20" s="126"/>
      <c r="F20" s="87"/>
      <c r="G20" s="87"/>
      <c r="H20" s="87"/>
      <c r="I20" s="87"/>
      <c r="J20" s="87"/>
      <c r="K20" s="87"/>
      <c r="L20" s="87"/>
      <c r="M20" s="87"/>
      <c r="N20" s="87"/>
    </row>
    <row r="21" spans="1:14" ht="15" customHeight="1">
      <c r="A21" s="259" t="s">
        <v>227</v>
      </c>
      <c r="B21" s="36"/>
      <c r="C21" s="37" t="s">
        <v>228</v>
      </c>
      <c r="D21" s="38">
        <v>0</v>
      </c>
      <c r="E21" s="258">
        <v>0</v>
      </c>
      <c r="F21" s="303">
        <v>0</v>
      </c>
      <c r="G21" s="304">
        <v>0</v>
      </c>
      <c r="H21" s="304">
        <v>0</v>
      </c>
      <c r="I21" s="304">
        <v>0</v>
      </c>
      <c r="J21" s="304">
        <v>0</v>
      </c>
      <c r="K21" s="304">
        <v>0</v>
      </c>
      <c r="L21" s="304">
        <v>0</v>
      </c>
      <c r="M21" s="305">
        <v>0</v>
      </c>
      <c r="N21" s="348"/>
    </row>
    <row r="22" spans="1:14">
      <c r="A22" s="259" t="s">
        <v>229</v>
      </c>
      <c r="B22" s="36"/>
      <c r="C22" s="44" t="s">
        <v>230</v>
      </c>
      <c r="D22" s="45"/>
      <c r="E22" s="258">
        <v>0</v>
      </c>
      <c r="F22" s="303">
        <v>0</v>
      </c>
      <c r="G22" s="304">
        <v>0</v>
      </c>
      <c r="H22" s="304">
        <v>0</v>
      </c>
      <c r="I22" s="304">
        <v>0</v>
      </c>
      <c r="J22" s="304">
        <v>0</v>
      </c>
      <c r="K22" s="304">
        <v>0</v>
      </c>
      <c r="L22" s="304">
        <v>0</v>
      </c>
      <c r="M22" s="305">
        <v>0</v>
      </c>
      <c r="N22" s="348"/>
    </row>
    <row r="23" spans="1:14">
      <c r="A23" s="259" t="s">
        <v>231</v>
      </c>
      <c r="B23" s="36"/>
      <c r="C23" s="44" t="s">
        <v>232</v>
      </c>
      <c r="D23" s="45"/>
      <c r="E23" s="258">
        <v>0</v>
      </c>
      <c r="F23" s="303">
        <v>0</v>
      </c>
      <c r="G23" s="304">
        <v>0</v>
      </c>
      <c r="H23" s="304">
        <v>0</v>
      </c>
      <c r="I23" s="304">
        <v>0</v>
      </c>
      <c r="J23" s="304">
        <v>0</v>
      </c>
      <c r="K23" s="304">
        <v>0</v>
      </c>
      <c r="L23" s="304">
        <v>0</v>
      </c>
      <c r="M23" s="305">
        <v>0</v>
      </c>
      <c r="N23" s="318"/>
    </row>
    <row r="24" spans="1:14">
      <c r="A24" s="259" t="s">
        <v>233</v>
      </c>
      <c r="B24" s="36"/>
      <c r="C24" s="44" t="s">
        <v>234</v>
      </c>
      <c r="D24" s="45"/>
      <c r="E24" s="258">
        <v>0</v>
      </c>
      <c r="F24" s="303">
        <v>0</v>
      </c>
      <c r="G24" s="304">
        <v>0</v>
      </c>
      <c r="H24" s="304">
        <v>0</v>
      </c>
      <c r="I24" s="304">
        <v>0</v>
      </c>
      <c r="J24" s="304">
        <v>0</v>
      </c>
      <c r="K24" s="304">
        <v>0</v>
      </c>
      <c r="L24" s="304">
        <v>0</v>
      </c>
      <c r="M24" s="305">
        <v>0</v>
      </c>
      <c r="N24" s="348"/>
    </row>
    <row r="25" spans="1:14">
      <c r="A25" s="259" t="s">
        <v>235</v>
      </c>
      <c r="B25" s="36"/>
      <c r="C25" s="44">
        <v>251</v>
      </c>
      <c r="D25" s="45"/>
      <c r="E25" s="258">
        <v>0</v>
      </c>
      <c r="F25" s="303">
        <v>0</v>
      </c>
      <c r="G25" s="304">
        <v>0</v>
      </c>
      <c r="H25" s="304">
        <v>0</v>
      </c>
      <c r="I25" s="304">
        <v>0</v>
      </c>
      <c r="J25" s="304">
        <v>0</v>
      </c>
      <c r="K25" s="304">
        <v>0</v>
      </c>
      <c r="L25" s="304">
        <v>0</v>
      </c>
      <c r="M25" s="305">
        <v>0</v>
      </c>
      <c r="N25" s="348"/>
    </row>
    <row r="26" spans="1:14">
      <c r="A26" s="259" t="s">
        <v>242</v>
      </c>
      <c r="B26" s="36"/>
      <c r="C26" s="44">
        <v>252</v>
      </c>
      <c r="D26" s="45"/>
      <c r="E26" s="258">
        <v>0</v>
      </c>
      <c r="F26" s="303">
        <v>0</v>
      </c>
      <c r="G26" s="304">
        <v>0</v>
      </c>
      <c r="H26" s="304">
        <v>0</v>
      </c>
      <c r="I26" s="304">
        <v>0</v>
      </c>
      <c r="J26" s="304">
        <v>0</v>
      </c>
      <c r="K26" s="304">
        <v>0</v>
      </c>
      <c r="L26" s="304">
        <v>0</v>
      </c>
      <c r="M26" s="305">
        <v>0</v>
      </c>
      <c r="N26" s="348"/>
    </row>
    <row r="27" spans="1:14">
      <c r="A27" s="259" t="s">
        <v>243</v>
      </c>
      <c r="B27" s="36"/>
      <c r="C27" s="44">
        <v>252</v>
      </c>
      <c r="D27" s="45"/>
      <c r="E27" s="258">
        <v>0</v>
      </c>
      <c r="F27" s="303">
        <v>0</v>
      </c>
      <c r="G27" s="304">
        <v>0</v>
      </c>
      <c r="H27" s="304">
        <v>0</v>
      </c>
      <c r="I27" s="304">
        <v>0</v>
      </c>
      <c r="J27" s="304">
        <v>0</v>
      </c>
      <c r="K27" s="304">
        <v>0</v>
      </c>
      <c r="L27" s="304">
        <v>0</v>
      </c>
      <c r="M27" s="305">
        <v>0</v>
      </c>
      <c r="N27" s="348"/>
    </row>
    <row r="28" spans="1:14">
      <c r="A28" s="259" t="s">
        <v>244</v>
      </c>
      <c r="B28" s="36"/>
      <c r="C28" s="44">
        <v>253</v>
      </c>
      <c r="D28" s="259"/>
      <c r="E28" s="258">
        <v>0</v>
      </c>
      <c r="F28" s="303">
        <v>0</v>
      </c>
      <c r="G28" s="304">
        <v>0</v>
      </c>
      <c r="H28" s="304">
        <v>0</v>
      </c>
      <c r="I28" s="304">
        <v>0</v>
      </c>
      <c r="J28" s="304">
        <v>0</v>
      </c>
      <c r="K28" s="304">
        <v>0</v>
      </c>
      <c r="L28" s="304">
        <v>0</v>
      </c>
      <c r="M28" s="305">
        <v>0</v>
      </c>
      <c r="N28" s="348"/>
    </row>
    <row r="29" spans="1:14">
      <c r="A29" s="259" t="s">
        <v>245</v>
      </c>
      <c r="B29" s="36"/>
      <c r="C29" s="44">
        <v>255</v>
      </c>
      <c r="D29" s="259"/>
      <c r="E29" s="258">
        <v>0</v>
      </c>
      <c r="F29" s="303">
        <v>0</v>
      </c>
      <c r="G29" s="304">
        <v>0</v>
      </c>
      <c r="H29" s="304">
        <v>0</v>
      </c>
      <c r="I29" s="304">
        <v>0</v>
      </c>
      <c r="J29" s="304">
        <v>0</v>
      </c>
      <c r="K29" s="304">
        <v>0</v>
      </c>
      <c r="L29" s="304">
        <v>0</v>
      </c>
      <c r="M29" s="305">
        <v>0</v>
      </c>
      <c r="N29" s="348"/>
    </row>
    <row r="30" spans="1:14">
      <c r="A30" s="259" t="s">
        <v>246</v>
      </c>
      <c r="B30" s="36"/>
      <c r="C30" s="44">
        <v>256</v>
      </c>
      <c r="D30" s="259"/>
      <c r="E30" s="258">
        <v>0</v>
      </c>
      <c r="F30" s="303">
        <v>0</v>
      </c>
      <c r="G30" s="304">
        <v>0</v>
      </c>
      <c r="H30" s="304">
        <v>0</v>
      </c>
      <c r="I30" s="304">
        <v>0</v>
      </c>
      <c r="J30" s="304">
        <v>0</v>
      </c>
      <c r="K30" s="304">
        <v>0</v>
      </c>
      <c r="L30" s="304">
        <v>0</v>
      </c>
      <c r="M30" s="305">
        <v>0</v>
      </c>
      <c r="N30" s="348"/>
    </row>
    <row r="31" spans="1:14">
      <c r="A31" s="259" t="s">
        <v>247</v>
      </c>
      <c r="B31" s="36"/>
      <c r="C31" s="44">
        <v>257</v>
      </c>
      <c r="D31" s="259"/>
      <c r="E31" s="258">
        <v>0</v>
      </c>
      <c r="F31" s="303">
        <v>0</v>
      </c>
      <c r="G31" s="304">
        <v>0</v>
      </c>
      <c r="H31" s="304">
        <v>0</v>
      </c>
      <c r="I31" s="304">
        <v>0</v>
      </c>
      <c r="J31" s="304">
        <v>0</v>
      </c>
      <c r="K31" s="304">
        <v>0</v>
      </c>
      <c r="L31" s="304">
        <v>0</v>
      </c>
      <c r="M31" s="305">
        <v>0</v>
      </c>
      <c r="N31" s="348"/>
    </row>
    <row r="32" spans="1:14">
      <c r="A32" s="259" t="s">
        <v>248</v>
      </c>
      <c r="B32" s="36"/>
      <c r="C32" s="44" t="s">
        <v>249</v>
      </c>
      <c r="D32" s="259"/>
      <c r="E32" s="258">
        <v>0</v>
      </c>
      <c r="F32" s="303">
        <v>0</v>
      </c>
      <c r="G32" s="304">
        <v>0</v>
      </c>
      <c r="H32" s="304">
        <v>0</v>
      </c>
      <c r="I32" s="304">
        <v>0</v>
      </c>
      <c r="J32" s="304">
        <v>0</v>
      </c>
      <c r="K32" s="304">
        <v>0</v>
      </c>
      <c r="L32" s="304">
        <v>0</v>
      </c>
      <c r="M32" s="305">
        <v>0</v>
      </c>
      <c r="N32" s="348"/>
    </row>
    <row r="33" spans="1:14" s="370" customFormat="1">
      <c r="A33" s="601" t="s">
        <v>250</v>
      </c>
      <c r="B33" s="57"/>
      <c r="C33" s="621" t="s">
        <v>251</v>
      </c>
      <c r="D33" s="601"/>
      <c r="E33" s="258">
        <v>0</v>
      </c>
      <c r="F33" s="303">
        <f t="shared" ref="F33:F34" si="2">SUM(G33:M33)</f>
        <v>0</v>
      </c>
      <c r="G33" s="304">
        <v>0</v>
      </c>
      <c r="H33" s="304">
        <v>0</v>
      </c>
      <c r="I33" s="304">
        <v>0</v>
      </c>
      <c r="J33" s="304">
        <v>0</v>
      </c>
      <c r="K33" s="304">
        <v>0</v>
      </c>
      <c r="L33" s="304">
        <v>0</v>
      </c>
      <c r="M33" s="305">
        <v>0</v>
      </c>
      <c r="N33" s="348"/>
    </row>
    <row r="34" spans="1:14" s="370" customFormat="1">
      <c r="A34" s="601" t="s">
        <v>252</v>
      </c>
      <c r="B34" s="57"/>
      <c r="C34" s="621" t="s">
        <v>253</v>
      </c>
      <c r="D34" s="601"/>
      <c r="E34" s="258">
        <v>0</v>
      </c>
      <c r="F34" s="303">
        <f t="shared" si="2"/>
        <v>0</v>
      </c>
      <c r="G34" s="304">
        <v>0</v>
      </c>
      <c r="H34" s="304">
        <v>0</v>
      </c>
      <c r="I34" s="304">
        <v>0</v>
      </c>
      <c r="J34" s="304">
        <v>0</v>
      </c>
      <c r="K34" s="304">
        <v>0</v>
      </c>
      <c r="L34" s="304">
        <f>-450-800+125+1125-100-200+300</f>
        <v>0</v>
      </c>
      <c r="M34" s="305">
        <v>0</v>
      </c>
      <c r="N34" s="318" t="s">
        <v>951</v>
      </c>
    </row>
    <row r="35" spans="1:14">
      <c r="A35" s="40" t="s">
        <v>254</v>
      </c>
      <c r="B35" s="260"/>
      <c r="C35" s="261"/>
      <c r="D35" s="262"/>
      <c r="E35" s="42">
        <v>0</v>
      </c>
      <c r="F35" s="43">
        <f t="shared" ref="F35:M35" si="3">SUM(F21:F34)</f>
        <v>0</v>
      </c>
      <c r="G35" s="43">
        <f t="shared" si="3"/>
        <v>0</v>
      </c>
      <c r="H35" s="43">
        <f t="shared" si="3"/>
        <v>0</v>
      </c>
      <c r="I35" s="43">
        <f t="shared" si="3"/>
        <v>0</v>
      </c>
      <c r="J35" s="43">
        <f t="shared" si="3"/>
        <v>0</v>
      </c>
      <c r="K35" s="43">
        <f t="shared" si="3"/>
        <v>0</v>
      </c>
      <c r="L35" s="43">
        <f t="shared" si="3"/>
        <v>0</v>
      </c>
      <c r="M35" s="43">
        <f t="shared" si="3"/>
        <v>0</v>
      </c>
      <c r="N35" s="348"/>
    </row>
    <row r="36" spans="1:14" s="149" customFormat="1" ht="17.149999999999999" customHeight="1">
      <c r="A36" s="40" t="s">
        <v>255</v>
      </c>
      <c r="B36" s="51"/>
      <c r="C36" s="147"/>
      <c r="D36" s="262"/>
      <c r="E36" s="236">
        <v>0</v>
      </c>
      <c r="F36" s="235">
        <f>SUM(G36:L36)</f>
        <v>0</v>
      </c>
      <c r="G36" s="235"/>
      <c r="H36" s="235">
        <v>0</v>
      </c>
      <c r="I36" s="235"/>
      <c r="J36" s="235"/>
      <c r="K36" s="235"/>
      <c r="L36" s="235"/>
      <c r="M36" s="235"/>
      <c r="N36" s="318"/>
    </row>
    <row r="37" spans="1:14">
      <c r="A37" s="40" t="s">
        <v>256</v>
      </c>
      <c r="B37" s="46"/>
      <c r="C37" s="47"/>
      <c r="D37" s="48">
        <f>D35+D19+D12</f>
        <v>0</v>
      </c>
      <c r="E37" s="42">
        <f t="shared" ref="E37:M37" si="4">E35+E19+E12-E36</f>
        <v>1652</v>
      </c>
      <c r="F37" s="17">
        <f t="shared" si="4"/>
        <v>1368</v>
      </c>
      <c r="G37" s="17">
        <f t="shared" si="4"/>
        <v>0</v>
      </c>
      <c r="H37" s="17">
        <f t="shared" si="4"/>
        <v>0</v>
      </c>
      <c r="I37" s="17">
        <f t="shared" si="4"/>
        <v>0</v>
      </c>
      <c r="J37" s="17">
        <f t="shared" si="4"/>
        <v>0</v>
      </c>
      <c r="K37" s="17">
        <f t="shared" si="4"/>
        <v>168</v>
      </c>
      <c r="L37" s="17">
        <f t="shared" si="4"/>
        <v>1200</v>
      </c>
      <c r="M37" s="17">
        <f t="shared" si="4"/>
        <v>0</v>
      </c>
      <c r="N37" s="346"/>
    </row>
    <row r="40" spans="1:14" s="370" customFormat="1" ht="15" thickBot="1">
      <c r="A40" s="31"/>
      <c r="B40" s="31"/>
      <c r="C40" s="32"/>
      <c r="D40" s="31"/>
      <c r="E40" s="31"/>
      <c r="F40" s="31"/>
      <c r="G40" s="31"/>
      <c r="H40" s="31"/>
      <c r="I40" s="31"/>
      <c r="J40" s="31"/>
      <c r="K40" s="31"/>
      <c r="L40" s="31"/>
      <c r="M40" s="31"/>
      <c r="N40" s="536"/>
    </row>
    <row r="41" spans="1:14" s="370" customFormat="1" ht="15.5">
      <c r="A41" s="873" t="s">
        <v>257</v>
      </c>
      <c r="B41" s="874"/>
      <c r="C41" s="874"/>
      <c r="D41" s="874"/>
      <c r="E41" s="874"/>
      <c r="F41" s="874"/>
      <c r="G41" s="550"/>
      <c r="H41" s="31"/>
      <c r="I41" s="31"/>
      <c r="J41" s="31"/>
      <c r="K41" s="31"/>
      <c r="L41" s="31"/>
      <c r="M41" s="31"/>
      <c r="N41" s="536"/>
    </row>
    <row r="42" spans="1:14" s="370" customFormat="1" ht="15.5">
      <c r="A42" s="875"/>
      <c r="B42" s="876"/>
      <c r="C42" s="876"/>
      <c r="D42" s="876"/>
      <c r="E42" s="876"/>
      <c r="F42" s="876"/>
      <c r="G42" s="551"/>
      <c r="H42" s="31"/>
      <c r="I42" s="31"/>
      <c r="J42" s="31"/>
      <c r="K42" s="31"/>
      <c r="L42" s="31"/>
      <c r="M42" s="31"/>
      <c r="N42" s="536"/>
    </row>
    <row r="43" spans="1:14" s="370" customFormat="1">
      <c r="A43" s="877" t="s">
        <v>258</v>
      </c>
      <c r="B43" s="878"/>
      <c r="C43" s="552"/>
      <c r="D43" s="552"/>
      <c r="E43" s="552"/>
      <c r="F43" s="552"/>
      <c r="G43" s="551"/>
      <c r="H43" s="31"/>
      <c r="I43" s="31"/>
      <c r="J43" s="31"/>
      <c r="K43" s="31"/>
      <c r="L43" s="31"/>
      <c r="M43" s="31"/>
      <c r="N43" s="536"/>
    </row>
    <row r="44" spans="1:14" s="370" customFormat="1">
      <c r="A44" s="553" t="s">
        <v>1009</v>
      </c>
      <c r="B44" s="554">
        <f>+E37</f>
        <v>1652</v>
      </c>
      <c r="C44" s="555"/>
      <c r="D44" s="556"/>
      <c r="E44" s="556"/>
      <c r="F44" s="556"/>
      <c r="G44" s="551"/>
      <c r="H44" s="31"/>
      <c r="I44" s="31"/>
      <c r="J44" s="31"/>
      <c r="K44" s="31"/>
      <c r="L44" s="31"/>
      <c r="M44" s="31"/>
      <c r="N44" s="536"/>
    </row>
    <row r="45" spans="1:14" s="370" customFormat="1">
      <c r="A45" s="557" t="s">
        <v>1010</v>
      </c>
      <c r="B45" s="558">
        <f>+F37</f>
        <v>1368</v>
      </c>
      <c r="C45" s="555"/>
      <c r="D45" s="556"/>
      <c r="E45" s="556"/>
      <c r="F45" s="556"/>
      <c r="G45" s="551"/>
      <c r="H45" s="31"/>
      <c r="I45" s="31"/>
      <c r="J45" s="31"/>
      <c r="K45" s="31"/>
      <c r="L45" s="31"/>
      <c r="M45" s="31"/>
      <c r="N45" s="536"/>
    </row>
    <row r="46" spans="1:14" s="370" customFormat="1">
      <c r="A46" s="559" t="s">
        <v>259</v>
      </c>
      <c r="B46" s="560">
        <f>+B45-B44</f>
        <v>-284</v>
      </c>
      <c r="C46" s="555"/>
      <c r="D46" s="556"/>
      <c r="E46" s="556"/>
      <c r="F46" s="556"/>
      <c r="G46" s="551"/>
      <c r="H46" s="31"/>
      <c r="I46" s="31"/>
      <c r="J46" s="31"/>
      <c r="K46" s="31"/>
      <c r="L46" s="31"/>
      <c r="M46" s="31"/>
      <c r="N46" s="536"/>
    </row>
    <row r="47" spans="1:14" s="370" customFormat="1">
      <c r="A47" s="559" t="s">
        <v>260</v>
      </c>
      <c r="B47" s="561">
        <f>+B46/B44</f>
        <v>-0.17191283292978207</v>
      </c>
      <c r="C47" s="555"/>
      <c r="D47" s="556"/>
      <c r="E47" s="556"/>
      <c r="F47" s="556"/>
      <c r="G47" s="551"/>
      <c r="H47" s="31"/>
      <c r="I47" s="31"/>
      <c r="J47" s="31"/>
      <c r="K47" s="31"/>
      <c r="L47" s="31"/>
      <c r="M47" s="31"/>
      <c r="N47" s="536"/>
    </row>
    <row r="48" spans="1:14" s="370" customFormat="1">
      <c r="A48" s="562"/>
      <c r="B48" s="556"/>
      <c r="C48" s="638"/>
      <c r="D48" s="556"/>
      <c r="E48" s="556"/>
      <c r="F48" s="556"/>
      <c r="G48" s="551"/>
      <c r="H48" s="31"/>
      <c r="I48" s="31"/>
      <c r="J48" s="31"/>
      <c r="K48" s="31"/>
      <c r="L48" s="31"/>
      <c r="M48" s="31"/>
      <c r="N48" s="536"/>
    </row>
    <row r="49" spans="1:14" s="370" customFormat="1">
      <c r="A49" s="879" t="s">
        <v>261</v>
      </c>
      <c r="B49" s="880"/>
      <c r="C49" s="880"/>
      <c r="D49" s="880"/>
      <c r="E49" s="880"/>
      <c r="F49" s="880"/>
      <c r="G49" s="551"/>
      <c r="H49" s="31"/>
      <c r="I49" s="31"/>
      <c r="J49" s="31"/>
      <c r="K49" s="31"/>
      <c r="L49" s="31"/>
      <c r="M49" s="31"/>
      <c r="N49" s="536"/>
    </row>
    <row r="50" spans="1:14" s="370" customFormat="1" ht="34.15" customHeight="1">
      <c r="A50" s="881" t="s">
        <v>353</v>
      </c>
      <c r="B50" s="882"/>
      <c r="C50" s="882"/>
      <c r="D50" s="882"/>
      <c r="E50" s="882"/>
      <c r="F50" s="883"/>
      <c r="G50" s="551"/>
      <c r="H50" s="31"/>
      <c r="I50" s="31"/>
      <c r="J50" s="31"/>
      <c r="K50" s="31"/>
      <c r="L50" s="31"/>
      <c r="M50" s="31"/>
      <c r="N50" s="536"/>
    </row>
    <row r="51" spans="1:14" s="370" customFormat="1">
      <c r="A51" s="563"/>
      <c r="B51" s="564"/>
      <c r="C51" s="564"/>
      <c r="D51" s="564"/>
      <c r="E51" s="564"/>
      <c r="F51" s="564"/>
      <c r="G51" s="551"/>
      <c r="H51" s="31"/>
      <c r="I51" s="31"/>
      <c r="J51" s="31"/>
      <c r="K51" s="31"/>
      <c r="L51" s="31"/>
      <c r="M51" s="31"/>
      <c r="N51" s="536"/>
    </row>
    <row r="52" spans="1:14" s="370" customFormat="1">
      <c r="A52" s="565" t="s">
        <v>262</v>
      </c>
      <c r="B52" s="556"/>
      <c r="C52" s="747"/>
      <c r="D52" s="556"/>
      <c r="E52" s="556"/>
      <c r="F52" s="556"/>
      <c r="G52" s="551"/>
      <c r="H52" s="31"/>
      <c r="I52" s="31"/>
      <c r="J52" s="31"/>
      <c r="K52" s="31"/>
      <c r="L52" s="31"/>
      <c r="M52" s="31"/>
      <c r="N52" s="536"/>
    </row>
    <row r="53" spans="1:14" s="370" customFormat="1" ht="224.5" customHeight="1">
      <c r="A53" s="881" t="s">
        <v>948</v>
      </c>
      <c r="B53" s="882"/>
      <c r="C53" s="882"/>
      <c r="D53" s="882"/>
      <c r="E53" s="882"/>
      <c r="F53" s="883"/>
      <c r="G53" s="551"/>
      <c r="H53" s="31"/>
      <c r="I53" s="31"/>
      <c r="J53" s="31"/>
      <c r="K53" s="31"/>
      <c r="L53" s="31"/>
      <c r="M53" s="31"/>
      <c r="N53" s="536"/>
    </row>
    <row r="54" spans="1:14" s="370" customFormat="1">
      <c r="A54" s="562"/>
      <c r="B54" s="556"/>
      <c r="C54" s="747"/>
      <c r="D54" s="556"/>
      <c r="E54" s="556"/>
      <c r="F54" s="556"/>
      <c r="G54" s="551"/>
      <c r="H54" s="31"/>
      <c r="I54" s="31"/>
      <c r="J54" s="31"/>
      <c r="K54" s="31"/>
      <c r="L54" s="31"/>
      <c r="M54" s="31"/>
      <c r="N54" s="536"/>
    </row>
    <row r="55" spans="1:14" s="370" customFormat="1">
      <c r="A55" s="879" t="s">
        <v>1020</v>
      </c>
      <c r="B55" s="880"/>
      <c r="C55" s="880"/>
      <c r="D55" s="880"/>
      <c r="E55" s="880"/>
      <c r="F55" s="880"/>
      <c r="G55" s="551"/>
      <c r="H55" s="31"/>
      <c r="I55" s="31"/>
      <c r="J55" s="31"/>
      <c r="K55" s="31"/>
      <c r="L55" s="31"/>
      <c r="M55" s="31"/>
      <c r="N55" s="536"/>
    </row>
    <row r="56" spans="1:14" s="370" customFormat="1">
      <c r="A56" s="898" t="s">
        <v>1324</v>
      </c>
      <c r="B56" s="899"/>
      <c r="C56" s="899"/>
      <c r="D56" s="899"/>
      <c r="E56" s="899"/>
      <c r="F56" s="899"/>
      <c r="G56" s="551"/>
      <c r="H56" s="31"/>
      <c r="I56" s="31"/>
      <c r="J56" s="31"/>
      <c r="K56" s="31"/>
      <c r="L56" s="31"/>
      <c r="M56" s="31"/>
      <c r="N56" s="536"/>
    </row>
    <row r="57" spans="1:14" s="370" customFormat="1" ht="49.5" customHeight="1">
      <c r="A57" s="881" t="s">
        <v>949</v>
      </c>
      <c r="B57" s="882"/>
      <c r="C57" s="882"/>
      <c r="D57" s="882"/>
      <c r="E57" s="882"/>
      <c r="F57" s="883"/>
      <c r="G57" s="551"/>
      <c r="H57" s="31"/>
      <c r="I57" s="31"/>
      <c r="J57" s="31"/>
      <c r="K57" s="31"/>
      <c r="L57" s="31"/>
      <c r="M57" s="31"/>
      <c r="N57" s="536"/>
    </row>
    <row r="58" spans="1:14" s="370" customFormat="1">
      <c r="A58" s="565"/>
      <c r="B58" s="556"/>
      <c r="C58" s="747"/>
      <c r="D58" s="556"/>
      <c r="E58" s="556"/>
      <c r="F58" s="556"/>
      <c r="G58" s="551"/>
      <c r="H58" s="31"/>
      <c r="I58" s="31"/>
      <c r="J58" s="31"/>
      <c r="K58" s="31"/>
      <c r="L58" s="31"/>
      <c r="M58" s="31"/>
      <c r="N58" s="536"/>
    </row>
    <row r="59" spans="1:14" s="370" customFormat="1">
      <c r="A59" s="879" t="s">
        <v>264</v>
      </c>
      <c r="B59" s="880"/>
      <c r="C59" s="880"/>
      <c r="D59" s="880"/>
      <c r="E59" s="880"/>
      <c r="F59" s="556"/>
      <c r="G59" s="551"/>
      <c r="H59" s="31"/>
      <c r="I59" s="31"/>
      <c r="J59" s="31"/>
      <c r="K59" s="31"/>
      <c r="L59" s="31"/>
      <c r="M59" s="31"/>
      <c r="N59" s="536"/>
    </row>
    <row r="60" spans="1:14" s="370" customFormat="1" ht="29" customHeight="1">
      <c r="A60" s="881" t="s">
        <v>354</v>
      </c>
      <c r="B60" s="882"/>
      <c r="C60" s="882"/>
      <c r="D60" s="882"/>
      <c r="E60" s="882"/>
      <c r="F60" s="883"/>
      <c r="G60" s="551"/>
      <c r="H60" s="31"/>
      <c r="I60" s="31"/>
      <c r="J60" s="31"/>
      <c r="K60" s="31"/>
      <c r="L60" s="31"/>
      <c r="M60" s="31"/>
      <c r="N60" s="536"/>
    </row>
    <row r="61" spans="1:14" s="370" customFormat="1">
      <c r="A61" s="562"/>
      <c r="B61" s="556"/>
      <c r="C61" s="747"/>
      <c r="D61" s="556"/>
      <c r="E61" s="556"/>
      <c r="F61" s="556"/>
      <c r="G61" s="551"/>
      <c r="H61" s="31"/>
      <c r="I61" s="31"/>
      <c r="J61" s="31"/>
      <c r="K61" s="31"/>
      <c r="L61" s="31"/>
      <c r="M61" s="31"/>
      <c r="N61" s="536"/>
    </row>
    <row r="62" spans="1:14" s="370" customFormat="1">
      <c r="A62" s="565" t="s">
        <v>265</v>
      </c>
      <c r="B62" s="556"/>
      <c r="C62" s="747"/>
      <c r="D62" s="556"/>
      <c r="E62" s="556"/>
      <c r="F62" s="556"/>
      <c r="G62" s="551"/>
      <c r="H62" s="31"/>
      <c r="I62" s="31"/>
      <c r="J62" s="31"/>
      <c r="K62" s="31"/>
      <c r="L62" s="31"/>
      <c r="M62" s="31"/>
      <c r="N62" s="536"/>
    </row>
    <row r="63" spans="1:14" s="370" customFormat="1">
      <c r="A63" s="566" t="s">
        <v>266</v>
      </c>
      <c r="B63" s="556"/>
      <c r="C63" s="747"/>
      <c r="D63" s="556"/>
      <c r="E63" s="556"/>
      <c r="F63" s="556"/>
      <c r="G63" s="551"/>
      <c r="H63" s="31"/>
      <c r="I63" s="31"/>
      <c r="J63" s="31"/>
      <c r="K63" s="31"/>
      <c r="L63" s="31"/>
      <c r="M63" s="31"/>
      <c r="N63" s="536"/>
    </row>
    <row r="64" spans="1:14" s="370" customFormat="1" ht="26" customHeight="1">
      <c r="A64" s="892" t="s">
        <v>1030</v>
      </c>
      <c r="B64" s="893"/>
      <c r="C64" s="893"/>
      <c r="D64" s="893"/>
      <c r="E64" s="893"/>
      <c r="F64" s="893"/>
      <c r="G64" s="551"/>
      <c r="H64" s="31"/>
      <c r="I64" s="31"/>
      <c r="J64" s="31"/>
      <c r="K64" s="31"/>
      <c r="L64" s="31"/>
      <c r="M64" s="31"/>
      <c r="N64" s="536"/>
    </row>
    <row r="65" spans="1:14" s="370" customFormat="1" ht="32" customHeight="1">
      <c r="A65" s="881" t="s">
        <v>355</v>
      </c>
      <c r="B65" s="882"/>
      <c r="C65" s="882"/>
      <c r="D65" s="882"/>
      <c r="E65" s="882"/>
      <c r="F65" s="883"/>
      <c r="G65" s="551"/>
      <c r="H65" s="31"/>
      <c r="I65" s="31"/>
      <c r="J65" s="31"/>
      <c r="K65" s="31"/>
      <c r="L65" s="31"/>
      <c r="M65" s="31"/>
      <c r="N65" s="536"/>
    </row>
    <row r="66" spans="1:14" s="370" customFormat="1">
      <c r="A66" s="894"/>
      <c r="B66" s="895"/>
      <c r="C66" s="895"/>
      <c r="D66" s="895"/>
      <c r="E66" s="895"/>
      <c r="F66" s="895"/>
      <c r="G66" s="551"/>
      <c r="H66" s="31"/>
      <c r="I66" s="31"/>
      <c r="J66" s="31"/>
      <c r="K66" s="31"/>
      <c r="L66" s="31"/>
      <c r="M66" s="31"/>
      <c r="N66" s="536"/>
    </row>
    <row r="67" spans="1:14" s="370" customFormat="1">
      <c r="A67" s="566" t="s">
        <v>268</v>
      </c>
      <c r="B67" s="556"/>
      <c r="C67" s="747"/>
      <c r="D67" s="556"/>
      <c r="E67" s="556"/>
      <c r="F67" s="556"/>
      <c r="G67" s="551"/>
      <c r="H67" s="31"/>
      <c r="I67" s="31"/>
      <c r="J67" s="31"/>
      <c r="K67" s="31"/>
      <c r="L67" s="31"/>
      <c r="M67" s="31"/>
      <c r="N67" s="536"/>
    </row>
    <row r="68" spans="1:14" s="370" customFormat="1" ht="43.5" customHeight="1">
      <c r="A68" s="896" t="s">
        <v>269</v>
      </c>
      <c r="B68" s="897"/>
      <c r="C68" s="897"/>
      <c r="D68" s="897"/>
      <c r="E68" s="897"/>
      <c r="F68" s="897"/>
      <c r="G68" s="551"/>
      <c r="H68" s="31"/>
      <c r="I68" s="31"/>
      <c r="J68" s="31"/>
      <c r="K68" s="31"/>
      <c r="L68" s="31"/>
      <c r="M68" s="31"/>
      <c r="N68" s="536"/>
    </row>
    <row r="69" spans="1:14" s="370" customFormat="1" ht="45" customHeight="1">
      <c r="A69" s="881" t="s">
        <v>1325</v>
      </c>
      <c r="B69" s="882"/>
      <c r="C69" s="882"/>
      <c r="D69" s="882"/>
      <c r="E69" s="882"/>
      <c r="F69" s="883"/>
      <c r="G69" s="551"/>
      <c r="H69" s="31"/>
      <c r="I69" s="31"/>
      <c r="J69" s="31"/>
      <c r="K69" s="31"/>
      <c r="L69" s="31"/>
      <c r="M69" s="31"/>
      <c r="N69" s="536"/>
    </row>
    <row r="70" spans="1:14" s="370" customFormat="1" ht="21" customHeight="1" thickBot="1">
      <c r="A70" s="567"/>
      <c r="B70" s="568"/>
      <c r="C70" s="569"/>
      <c r="D70" s="568"/>
      <c r="E70" s="568"/>
      <c r="F70" s="568"/>
      <c r="G70" s="570"/>
      <c r="H70" s="31"/>
      <c r="I70" s="31"/>
      <c r="J70" s="31"/>
      <c r="K70" s="31"/>
      <c r="L70" s="31"/>
      <c r="M70" s="31"/>
      <c r="N70" s="536"/>
    </row>
    <row r="71" spans="1:14" s="370" customFormat="1">
      <c r="A71" s="31"/>
      <c r="B71" s="31"/>
      <c r="C71" s="32"/>
      <c r="D71" s="31"/>
      <c r="E71" s="31"/>
      <c r="F71" s="31"/>
      <c r="G71" s="31"/>
      <c r="H71" s="31"/>
      <c r="I71" s="31"/>
      <c r="J71" s="31"/>
      <c r="K71" s="31"/>
      <c r="L71" s="31"/>
      <c r="M71" s="31"/>
      <c r="N71" s="536"/>
    </row>
    <row r="72" spans="1:14" s="370" customFormat="1">
      <c r="C72" s="748"/>
    </row>
    <row r="73" spans="1:14" s="370" customFormat="1">
      <c r="C73" s="748"/>
    </row>
    <row r="74" spans="1:14" s="370" customFormat="1">
      <c r="C74" s="748"/>
    </row>
    <row r="75" spans="1:14" s="370" customFormat="1">
      <c r="C75" s="748"/>
    </row>
    <row r="76" spans="1:14" s="370" customFormat="1">
      <c r="C76" s="748"/>
    </row>
    <row r="77" spans="1:14" s="370" customFormat="1">
      <c r="C77" s="748"/>
    </row>
    <row r="78" spans="1:14" s="370" customFormat="1">
      <c r="C78" s="748"/>
    </row>
    <row r="79" spans="1:14" s="370" customFormat="1">
      <c r="C79" s="748"/>
    </row>
    <row r="80" spans="1:14" s="370" customFormat="1">
      <c r="C80" s="748"/>
    </row>
    <row r="81" spans="3:3" s="370" customFormat="1">
      <c r="C81" s="748"/>
    </row>
    <row r="82" spans="3:3" s="370" customFormat="1">
      <c r="C82" s="748"/>
    </row>
    <row r="83" spans="3:3" s="370" customFormat="1">
      <c r="C83" s="748"/>
    </row>
    <row r="84" spans="3:3" s="370" customFormat="1">
      <c r="C84" s="748"/>
    </row>
    <row r="85" spans="3:3" s="370" customFormat="1">
      <c r="C85" s="748"/>
    </row>
    <row r="86" spans="3:3" s="370" customFormat="1">
      <c r="C86" s="748"/>
    </row>
    <row r="87" spans="3:3" s="370" customFormat="1">
      <c r="C87" s="748"/>
    </row>
    <row r="88" spans="3:3" s="370" customFormat="1">
      <c r="C88" s="748"/>
    </row>
    <row r="89" spans="3:3" s="370" customFormat="1">
      <c r="C89" s="748"/>
    </row>
    <row r="90" spans="3:3" s="370" customFormat="1">
      <c r="C90" s="748"/>
    </row>
    <row r="91" spans="3:3" s="370" customFormat="1">
      <c r="C91" s="748"/>
    </row>
    <row r="92" spans="3:3" s="370" customFormat="1">
      <c r="C92" s="748"/>
    </row>
    <row r="93" spans="3:3" s="370" customFormat="1">
      <c r="C93" s="748"/>
    </row>
    <row r="94" spans="3:3" s="370" customFormat="1">
      <c r="C94" s="748"/>
    </row>
    <row r="95" spans="3:3" s="370" customFormat="1">
      <c r="C95" s="748"/>
    </row>
    <row r="96" spans="3:3" s="370" customFormat="1">
      <c r="C96" s="748"/>
    </row>
    <row r="97" spans="3:3" s="370" customFormat="1">
      <c r="C97" s="639"/>
    </row>
    <row r="98" spans="3:3" s="370" customFormat="1">
      <c r="C98" s="639"/>
    </row>
    <row r="99" spans="3:3" s="370" customFormat="1">
      <c r="C99" s="639"/>
    </row>
    <row r="100" spans="3:3" s="370" customFormat="1">
      <c r="C100" s="639"/>
    </row>
    <row r="101" spans="3:3" s="370" customFormat="1">
      <c r="C101" s="639"/>
    </row>
    <row r="102" spans="3:3" s="370" customFormat="1">
      <c r="C102" s="639"/>
    </row>
    <row r="103" spans="3:3" s="370" customFormat="1">
      <c r="C103" s="639"/>
    </row>
    <row r="104" spans="3:3" s="370" customFormat="1">
      <c r="C104" s="639"/>
    </row>
  </sheetData>
  <mergeCells count="17">
    <mergeCell ref="A68:F68"/>
    <mergeCell ref="A69:F69"/>
    <mergeCell ref="A59:E59"/>
    <mergeCell ref="A60:F60"/>
    <mergeCell ref="A64:F64"/>
    <mergeCell ref="A65:F65"/>
    <mergeCell ref="A66:F66"/>
    <mergeCell ref="A50:F50"/>
    <mergeCell ref="A53:F53"/>
    <mergeCell ref="A55:F55"/>
    <mergeCell ref="A56:F56"/>
    <mergeCell ref="A57:F57"/>
    <mergeCell ref="A1:N1"/>
    <mergeCell ref="A41:F41"/>
    <mergeCell ref="A42:F42"/>
    <mergeCell ref="A43:B43"/>
    <mergeCell ref="A49:F49"/>
  </mergeCells>
  <printOptions horizontalCentered="1"/>
  <pageMargins left="0.2" right="0.2" top="0.5" bottom="0.25" header="0.05" footer="0.05"/>
  <pageSetup scale="64" fitToHeight="0" orientation="landscape" r:id="rId1"/>
  <headerFooter>
    <oddHeader xml:space="preserve">&amp;CDRAFT NOT FOR DISTRIBUTION, INTERNAL USE ONLY
</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pageSetUpPr fitToPage="1"/>
  </sheetPr>
  <dimension ref="A1:N248"/>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32.7265625" customWidth="1"/>
  </cols>
  <sheetData>
    <row r="1" spans="1:14" ht="15.5">
      <c r="A1" s="854" t="s">
        <v>346</v>
      </c>
      <c r="B1" s="854"/>
      <c r="C1" s="854"/>
      <c r="D1" s="854"/>
      <c r="E1" s="854"/>
      <c r="F1" s="854"/>
      <c r="G1" s="854"/>
      <c r="H1" s="854"/>
      <c r="I1" s="854"/>
      <c r="J1" s="854"/>
      <c r="K1" s="854"/>
      <c r="L1" s="854"/>
      <c r="M1" s="854"/>
      <c r="N1" s="854"/>
    </row>
    <row r="2" spans="1:14">
      <c r="A2" s="702" t="s">
        <v>877</v>
      </c>
      <c r="B2" s="370"/>
      <c r="C2" s="639"/>
      <c r="D2" s="370"/>
      <c r="E2" s="370"/>
      <c r="F2" s="370"/>
      <c r="G2" s="370"/>
      <c r="H2" s="370"/>
      <c r="I2" s="370"/>
      <c r="J2" s="370"/>
      <c r="K2" s="370"/>
      <c r="L2" s="370"/>
      <c r="M2" s="370"/>
      <c r="N2" s="370"/>
    </row>
    <row r="3" spans="1:14">
      <c r="A3" s="506" t="s">
        <v>1358</v>
      </c>
      <c r="B3" s="370"/>
      <c r="C3" s="639"/>
      <c r="D3" s="370"/>
      <c r="E3" s="370"/>
      <c r="F3" s="451" t="s">
        <v>210</v>
      </c>
      <c r="G3" s="370"/>
      <c r="H3" s="370"/>
      <c r="I3" s="370"/>
      <c r="J3" s="370"/>
      <c r="K3" s="370"/>
      <c r="L3" s="370"/>
      <c r="M3" s="370"/>
      <c r="N3" s="370"/>
    </row>
    <row r="4" spans="1:14">
      <c r="A4" s="506" t="s">
        <v>1179</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249"/>
    </row>
    <row r="17" spans="1:14">
      <c r="A17" s="67" t="s">
        <v>220</v>
      </c>
      <c r="B17" s="68"/>
      <c r="C17" s="69"/>
      <c r="D17" s="68"/>
      <c r="E17" s="68"/>
      <c r="F17" s="70"/>
      <c r="G17" s="70"/>
      <c r="H17" s="70"/>
      <c r="I17" s="70"/>
      <c r="J17" s="70"/>
      <c r="K17" s="70"/>
      <c r="L17" s="70"/>
      <c r="M17" s="70"/>
      <c r="N17" s="70"/>
    </row>
    <row r="18" spans="1:14" ht="319">
      <c r="A18" s="71" t="s">
        <v>356</v>
      </c>
      <c r="B18" s="71"/>
      <c r="C18" s="44">
        <v>253</v>
      </c>
      <c r="D18" s="45"/>
      <c r="E18" s="258">
        <v>250</v>
      </c>
      <c r="F18" s="350">
        <f>SUM(G18:M18)</f>
        <v>350</v>
      </c>
      <c r="G18" s="304">
        <v>0</v>
      </c>
      <c r="H18" s="304">
        <v>350</v>
      </c>
      <c r="I18" s="304">
        <v>0</v>
      </c>
      <c r="J18" s="304">
        <v>0</v>
      </c>
      <c r="K18" s="304">
        <v>0</v>
      </c>
      <c r="L18" s="304"/>
      <c r="M18" s="305">
        <v>0</v>
      </c>
      <c r="N18" s="318" t="s">
        <v>1178</v>
      </c>
    </row>
    <row r="19" spans="1:14">
      <c r="A19" s="259" t="s">
        <v>278</v>
      </c>
      <c r="B19" s="259"/>
      <c r="C19" s="44">
        <v>253</v>
      </c>
      <c r="D19" s="45"/>
      <c r="E19" s="258">
        <v>0</v>
      </c>
      <c r="F19" s="350">
        <f>SUM(G19:M19)</f>
        <v>0</v>
      </c>
      <c r="G19" s="304">
        <v>0</v>
      </c>
      <c r="H19" s="304">
        <v>0</v>
      </c>
      <c r="I19" s="304">
        <v>0</v>
      </c>
      <c r="J19" s="304">
        <v>0</v>
      </c>
      <c r="K19" s="304">
        <v>0</v>
      </c>
      <c r="L19" s="304">
        <v>0</v>
      </c>
      <c r="M19" s="305">
        <v>0</v>
      </c>
      <c r="N19" s="319"/>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7" customFormat="1">
      <c r="A21" s="259" t="s">
        <v>309</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SUM(D18:D21)</f>
        <v>0</v>
      </c>
      <c r="E22" s="42">
        <f>SUM(E18:E21)</f>
        <v>250</v>
      </c>
      <c r="F22" s="43">
        <f>SUM(F18:F21)</f>
        <v>350</v>
      </c>
      <c r="G22" s="43">
        <f t="shared" ref="G22:M22" si="2">SUM(G18:G21)</f>
        <v>0</v>
      </c>
      <c r="H22" s="43">
        <f t="shared" si="2"/>
        <v>350</v>
      </c>
      <c r="I22" s="43">
        <f t="shared" si="2"/>
        <v>0</v>
      </c>
      <c r="J22" s="43">
        <f t="shared" si="2"/>
        <v>0</v>
      </c>
      <c r="K22" s="43">
        <f t="shared" si="2"/>
        <v>0</v>
      </c>
      <c r="L22" s="43">
        <f t="shared" si="2"/>
        <v>0</v>
      </c>
      <c r="M22" s="43">
        <f t="shared" si="2"/>
        <v>0</v>
      </c>
      <c r="N22" s="348"/>
    </row>
    <row r="23" spans="1:14" s="7" customFormat="1">
      <c r="A23" s="125" t="s">
        <v>279</v>
      </c>
      <c r="B23" s="126"/>
      <c r="C23" s="126"/>
      <c r="D23" s="126"/>
      <c r="E23" s="87"/>
      <c r="F23" s="87"/>
      <c r="G23" s="87"/>
      <c r="H23" s="87"/>
      <c r="I23" s="87"/>
      <c r="J23" s="87"/>
      <c r="K23" s="87"/>
      <c r="L23" s="87"/>
      <c r="M23" s="87"/>
      <c r="N23" s="128"/>
    </row>
    <row r="24" spans="1:14" ht="15" customHeight="1">
      <c r="A24" s="259" t="s">
        <v>227</v>
      </c>
      <c r="B24" s="36"/>
      <c r="C24" s="37" t="s">
        <v>228</v>
      </c>
      <c r="D24" s="38">
        <v>0</v>
      </c>
      <c r="E24" s="258">
        <v>0</v>
      </c>
      <c r="F24" s="350">
        <f t="shared" ref="F24:F37" si="3">SUM(G24:M24)</f>
        <v>0</v>
      </c>
      <c r="G24" s="304">
        <v>0</v>
      </c>
      <c r="H24" s="304">
        <v>0</v>
      </c>
      <c r="I24" s="304">
        <v>0</v>
      </c>
      <c r="J24" s="304">
        <v>0</v>
      </c>
      <c r="K24" s="304">
        <v>0</v>
      </c>
      <c r="L24" s="304">
        <v>0</v>
      </c>
      <c r="M24" s="305">
        <v>0</v>
      </c>
      <c r="N24" s="318"/>
    </row>
    <row r="25" spans="1:14">
      <c r="A25" s="259" t="s">
        <v>229</v>
      </c>
      <c r="B25" s="36"/>
      <c r="C25" s="44" t="s">
        <v>230</v>
      </c>
      <c r="D25" s="45"/>
      <c r="E25" s="258">
        <v>0</v>
      </c>
      <c r="F25" s="350">
        <f t="shared" si="3"/>
        <v>0</v>
      </c>
      <c r="G25" s="304">
        <v>0</v>
      </c>
      <c r="H25" s="304">
        <v>0</v>
      </c>
      <c r="I25" s="304">
        <v>0</v>
      </c>
      <c r="J25" s="304">
        <v>0</v>
      </c>
      <c r="K25" s="304">
        <v>0</v>
      </c>
      <c r="L25" s="304">
        <v>0</v>
      </c>
      <c r="M25" s="305">
        <v>0</v>
      </c>
      <c r="N25" s="348"/>
    </row>
    <row r="26" spans="1:14">
      <c r="A26" s="259" t="s">
        <v>231</v>
      </c>
      <c r="B26" s="36"/>
      <c r="C26" s="44" t="s">
        <v>232</v>
      </c>
      <c r="D26" s="45"/>
      <c r="E26" s="258">
        <v>0</v>
      </c>
      <c r="F26" s="350">
        <f t="shared" si="3"/>
        <v>0</v>
      </c>
      <c r="G26" s="304">
        <v>0</v>
      </c>
      <c r="H26" s="304">
        <v>0</v>
      </c>
      <c r="I26" s="304">
        <v>0</v>
      </c>
      <c r="J26" s="304">
        <v>0</v>
      </c>
      <c r="K26" s="304">
        <v>0</v>
      </c>
      <c r="L26" s="304">
        <v>0</v>
      </c>
      <c r="M26" s="305">
        <v>0</v>
      </c>
      <c r="N26" s="348"/>
    </row>
    <row r="27" spans="1:14">
      <c r="A27" s="259" t="s">
        <v>233</v>
      </c>
      <c r="B27" s="36"/>
      <c r="C27" s="44" t="s">
        <v>234</v>
      </c>
      <c r="D27" s="45"/>
      <c r="E27" s="258">
        <v>0</v>
      </c>
      <c r="F27" s="350">
        <f t="shared" si="3"/>
        <v>0</v>
      </c>
      <c r="G27" s="304">
        <v>0</v>
      </c>
      <c r="H27" s="304">
        <v>0</v>
      </c>
      <c r="I27" s="304">
        <v>0</v>
      </c>
      <c r="J27" s="304">
        <v>0</v>
      </c>
      <c r="K27" s="304">
        <v>0</v>
      </c>
      <c r="L27" s="304">
        <v>0</v>
      </c>
      <c r="M27" s="305">
        <v>0</v>
      </c>
      <c r="N27" s="348"/>
    </row>
    <row r="28" spans="1:14">
      <c r="A28" s="259" t="s">
        <v>235</v>
      </c>
      <c r="B28" s="36"/>
      <c r="C28" s="44">
        <v>251</v>
      </c>
      <c r="D28" s="45"/>
      <c r="E28" s="258">
        <v>0</v>
      </c>
      <c r="F28" s="350">
        <f t="shared" si="3"/>
        <v>0</v>
      </c>
      <c r="G28" s="304">
        <v>0</v>
      </c>
      <c r="H28" s="304">
        <v>0</v>
      </c>
      <c r="I28" s="304">
        <v>0</v>
      </c>
      <c r="J28" s="304">
        <v>0</v>
      </c>
      <c r="K28" s="304">
        <v>0</v>
      </c>
      <c r="L28" s="304">
        <v>0</v>
      </c>
      <c r="M28" s="305">
        <v>0</v>
      </c>
      <c r="N28" s="348"/>
    </row>
    <row r="29" spans="1:14">
      <c r="A29" s="259" t="s">
        <v>242</v>
      </c>
      <c r="B29" s="36"/>
      <c r="C29" s="44">
        <v>252</v>
      </c>
      <c r="D29" s="45"/>
      <c r="E29" s="258">
        <v>0</v>
      </c>
      <c r="F29" s="350">
        <f t="shared" si="3"/>
        <v>0</v>
      </c>
      <c r="G29" s="304">
        <v>0</v>
      </c>
      <c r="H29" s="304">
        <v>0</v>
      </c>
      <c r="I29" s="304">
        <v>0</v>
      </c>
      <c r="J29" s="304">
        <v>0</v>
      </c>
      <c r="K29" s="304">
        <v>0</v>
      </c>
      <c r="L29" s="304">
        <v>0</v>
      </c>
      <c r="M29" s="305">
        <v>0</v>
      </c>
      <c r="N29" s="348"/>
    </row>
    <row r="30" spans="1:14">
      <c r="A30" s="259" t="s">
        <v>243</v>
      </c>
      <c r="B30" s="36"/>
      <c r="C30" s="44">
        <v>252</v>
      </c>
      <c r="D30" s="45"/>
      <c r="E30" s="258">
        <v>0</v>
      </c>
      <c r="F30" s="350">
        <f t="shared" si="3"/>
        <v>0</v>
      </c>
      <c r="G30" s="304">
        <v>0</v>
      </c>
      <c r="H30" s="304">
        <v>0</v>
      </c>
      <c r="I30" s="304">
        <v>0</v>
      </c>
      <c r="J30" s="304">
        <v>0</v>
      </c>
      <c r="K30" s="304">
        <v>0</v>
      </c>
      <c r="L30" s="304">
        <v>0</v>
      </c>
      <c r="M30" s="305">
        <v>0</v>
      </c>
      <c r="N30" s="348"/>
    </row>
    <row r="31" spans="1:14">
      <c r="A31" s="259" t="s">
        <v>244</v>
      </c>
      <c r="B31" s="36"/>
      <c r="C31" s="44">
        <v>253</v>
      </c>
      <c r="D31" s="259"/>
      <c r="E31" s="258">
        <v>0</v>
      </c>
      <c r="F31" s="350">
        <f t="shared" si="3"/>
        <v>0</v>
      </c>
      <c r="G31" s="304">
        <v>0</v>
      </c>
      <c r="H31" s="304">
        <v>0</v>
      </c>
      <c r="I31" s="304">
        <v>0</v>
      </c>
      <c r="J31" s="304">
        <v>0</v>
      </c>
      <c r="K31" s="304">
        <v>0</v>
      </c>
      <c r="L31" s="304">
        <v>0</v>
      </c>
      <c r="M31" s="305">
        <v>0</v>
      </c>
      <c r="N31" s="348"/>
    </row>
    <row r="32" spans="1:14">
      <c r="A32" s="259" t="s">
        <v>245</v>
      </c>
      <c r="B32" s="36"/>
      <c r="C32" s="44">
        <v>255</v>
      </c>
      <c r="D32" s="259"/>
      <c r="E32" s="258">
        <v>0</v>
      </c>
      <c r="F32" s="350">
        <f t="shared" si="3"/>
        <v>0</v>
      </c>
      <c r="G32" s="304">
        <v>0</v>
      </c>
      <c r="H32" s="304">
        <v>0</v>
      </c>
      <c r="I32" s="304">
        <v>0</v>
      </c>
      <c r="J32" s="304">
        <v>0</v>
      </c>
      <c r="K32" s="304">
        <v>0</v>
      </c>
      <c r="L32" s="304">
        <v>0</v>
      </c>
      <c r="M32" s="305">
        <v>0</v>
      </c>
      <c r="N32" s="348"/>
    </row>
    <row r="33" spans="1:14">
      <c r="A33" s="259" t="s">
        <v>246</v>
      </c>
      <c r="B33" s="36"/>
      <c r="C33" s="44">
        <v>256</v>
      </c>
      <c r="D33" s="259"/>
      <c r="E33" s="258">
        <v>0</v>
      </c>
      <c r="F33" s="350">
        <f t="shared" si="3"/>
        <v>0</v>
      </c>
      <c r="G33" s="304">
        <v>0</v>
      </c>
      <c r="H33" s="304">
        <v>0</v>
      </c>
      <c r="I33" s="304">
        <v>0</v>
      </c>
      <c r="J33" s="304">
        <v>0</v>
      </c>
      <c r="K33" s="304">
        <v>0</v>
      </c>
      <c r="L33" s="304">
        <v>0</v>
      </c>
      <c r="M33" s="305">
        <v>0</v>
      </c>
      <c r="N33" s="348"/>
    </row>
    <row r="34" spans="1:14">
      <c r="A34" s="259" t="s">
        <v>247</v>
      </c>
      <c r="B34" s="36"/>
      <c r="C34" s="44">
        <v>257</v>
      </c>
      <c r="D34" s="259"/>
      <c r="E34" s="258">
        <v>0</v>
      </c>
      <c r="F34" s="350">
        <f t="shared" si="3"/>
        <v>0</v>
      </c>
      <c r="G34" s="304">
        <v>0</v>
      </c>
      <c r="H34" s="304">
        <v>0</v>
      </c>
      <c r="I34" s="304">
        <v>0</v>
      </c>
      <c r="J34" s="304">
        <v>0</v>
      </c>
      <c r="K34" s="304">
        <v>0</v>
      </c>
      <c r="L34" s="304">
        <v>0</v>
      </c>
      <c r="M34" s="305">
        <v>0</v>
      </c>
      <c r="N34" s="348"/>
    </row>
    <row r="35" spans="1:14">
      <c r="A35" s="259" t="s">
        <v>248</v>
      </c>
      <c r="B35" s="36"/>
      <c r="C35" s="44" t="s">
        <v>249</v>
      </c>
      <c r="D35" s="259"/>
      <c r="E35" s="258">
        <v>0</v>
      </c>
      <c r="F35" s="350">
        <f t="shared" si="3"/>
        <v>0</v>
      </c>
      <c r="G35" s="304">
        <v>0</v>
      </c>
      <c r="H35" s="304">
        <v>0</v>
      </c>
      <c r="I35" s="304">
        <v>0</v>
      </c>
      <c r="J35" s="304">
        <v>0</v>
      </c>
      <c r="K35" s="304">
        <v>0</v>
      </c>
      <c r="L35" s="304">
        <v>0</v>
      </c>
      <c r="M35" s="305">
        <v>0</v>
      </c>
      <c r="N35" s="348"/>
    </row>
    <row r="36" spans="1:14" s="370" customFormat="1">
      <c r="A36" s="260" t="s">
        <v>250</v>
      </c>
      <c r="B36" s="36"/>
      <c r="C36" s="261" t="s">
        <v>251</v>
      </c>
      <c r="D36" s="260"/>
      <c r="E36" s="258">
        <v>0</v>
      </c>
      <c r="F36" s="350">
        <f t="shared" si="3"/>
        <v>0</v>
      </c>
      <c r="G36" s="304">
        <v>0</v>
      </c>
      <c r="H36" s="304">
        <v>0</v>
      </c>
      <c r="I36" s="304">
        <v>0</v>
      </c>
      <c r="J36" s="304">
        <v>0</v>
      </c>
      <c r="K36" s="304">
        <v>0</v>
      </c>
      <c r="L36" s="304">
        <v>0</v>
      </c>
      <c r="M36" s="305">
        <v>0</v>
      </c>
      <c r="N36" s="348"/>
    </row>
    <row r="37" spans="1:14">
      <c r="A37" s="260" t="s">
        <v>252</v>
      </c>
      <c r="B37" s="36"/>
      <c r="C37" s="261" t="s">
        <v>253</v>
      </c>
      <c r="D37" s="260"/>
      <c r="E37" s="258">
        <v>0</v>
      </c>
      <c r="F37" s="350">
        <f t="shared" si="3"/>
        <v>-100</v>
      </c>
      <c r="G37" s="304">
        <v>0</v>
      </c>
      <c r="H37" s="304">
        <v>-100</v>
      </c>
      <c r="I37" s="304">
        <v>0</v>
      </c>
      <c r="J37" s="304">
        <v>0</v>
      </c>
      <c r="K37" s="304">
        <v>0</v>
      </c>
      <c r="L37" s="304">
        <v>0</v>
      </c>
      <c r="M37" s="305">
        <v>0</v>
      </c>
      <c r="N37" s="318" t="s">
        <v>1586</v>
      </c>
    </row>
    <row r="38" spans="1:14">
      <c r="A38" s="40" t="s">
        <v>254</v>
      </c>
      <c r="B38" s="260"/>
      <c r="C38" s="261"/>
      <c r="D38" s="262"/>
      <c r="E38" s="258">
        <f t="shared" ref="E38:M38" si="4">SUM(E24:E37)</f>
        <v>0</v>
      </c>
      <c r="F38" s="43">
        <f t="shared" si="4"/>
        <v>-100</v>
      </c>
      <c r="G38" s="43">
        <f t="shared" si="4"/>
        <v>0</v>
      </c>
      <c r="H38" s="43">
        <f t="shared" si="4"/>
        <v>-100</v>
      </c>
      <c r="I38" s="43">
        <f t="shared" si="4"/>
        <v>0</v>
      </c>
      <c r="J38" s="43">
        <f t="shared" si="4"/>
        <v>0</v>
      </c>
      <c r="K38" s="43">
        <f t="shared" si="4"/>
        <v>0</v>
      </c>
      <c r="L38" s="43">
        <f t="shared" si="4"/>
        <v>0</v>
      </c>
      <c r="M38" s="43">
        <f t="shared" si="4"/>
        <v>0</v>
      </c>
      <c r="N38" s="348"/>
    </row>
    <row r="39" spans="1:14" s="149" customFormat="1">
      <c r="A39" s="40" t="s">
        <v>255</v>
      </c>
      <c r="B39" s="51"/>
      <c r="C39" s="147"/>
      <c r="D39" s="262"/>
      <c r="E39" s="236">
        <v>0</v>
      </c>
      <c r="F39" s="235">
        <v>0</v>
      </c>
      <c r="G39" s="235"/>
      <c r="H39" s="235">
        <v>0</v>
      </c>
      <c r="I39" s="235"/>
      <c r="J39" s="235"/>
      <c r="K39" s="235"/>
      <c r="L39" s="235"/>
      <c r="M39" s="235"/>
      <c r="N39" s="348"/>
    </row>
    <row r="40" spans="1:14">
      <c r="A40" s="40" t="s">
        <v>256</v>
      </c>
      <c r="B40" s="46"/>
      <c r="C40" s="47"/>
      <c r="D40" s="48">
        <f>D38+D22+D16</f>
        <v>0</v>
      </c>
      <c r="E40" s="42">
        <f>+E38+E22+E16-E39</f>
        <v>250</v>
      </c>
      <c r="F40" s="17">
        <f t="shared" ref="F40:M40" si="5">F38+F22+F16-F39</f>
        <v>250</v>
      </c>
      <c r="G40" s="17">
        <f t="shared" si="5"/>
        <v>0</v>
      </c>
      <c r="H40" s="17">
        <f t="shared" si="5"/>
        <v>250</v>
      </c>
      <c r="I40" s="17">
        <f t="shared" si="5"/>
        <v>0</v>
      </c>
      <c r="J40" s="17">
        <f t="shared" si="5"/>
        <v>0</v>
      </c>
      <c r="K40" s="17">
        <f t="shared" si="5"/>
        <v>0</v>
      </c>
      <c r="L40" s="17">
        <f t="shared" si="5"/>
        <v>0</v>
      </c>
      <c r="M40" s="17">
        <f t="shared" si="5"/>
        <v>0</v>
      </c>
      <c r="N40" s="346"/>
    </row>
    <row r="43" spans="1:14" s="370" customFormat="1" ht="15" thickBot="1">
      <c r="A43" s="31"/>
      <c r="B43" s="31"/>
      <c r="C43" s="32"/>
      <c r="D43" s="31"/>
      <c r="E43" s="31"/>
      <c r="F43" s="31"/>
      <c r="G43" s="31"/>
      <c r="H43" s="31"/>
      <c r="I43" s="31"/>
      <c r="J43" s="31"/>
      <c r="K43" s="31"/>
      <c r="L43" s="31"/>
      <c r="M43" s="31"/>
      <c r="N43" s="536"/>
    </row>
    <row r="44" spans="1:14" s="370" customFormat="1" ht="15.5">
      <c r="A44" s="873" t="s">
        <v>257</v>
      </c>
      <c r="B44" s="874"/>
      <c r="C44" s="874"/>
      <c r="D44" s="874"/>
      <c r="E44" s="874"/>
      <c r="F44" s="874"/>
      <c r="G44" s="550"/>
      <c r="H44" s="31"/>
      <c r="I44" s="31"/>
      <c r="J44" s="31"/>
      <c r="K44" s="31"/>
      <c r="L44" s="31"/>
      <c r="M44" s="31"/>
      <c r="N44" s="536"/>
    </row>
    <row r="45" spans="1:14" s="370" customFormat="1" ht="15.5">
      <c r="A45" s="875"/>
      <c r="B45" s="876"/>
      <c r="C45" s="876"/>
      <c r="D45" s="876"/>
      <c r="E45" s="876"/>
      <c r="F45" s="876"/>
      <c r="G45" s="551"/>
      <c r="H45" s="31"/>
      <c r="I45" s="31"/>
      <c r="J45" s="31"/>
      <c r="K45" s="31"/>
      <c r="L45" s="31"/>
      <c r="M45" s="31"/>
      <c r="N45" s="536"/>
    </row>
    <row r="46" spans="1:14" s="370" customFormat="1">
      <c r="A46" s="877" t="s">
        <v>258</v>
      </c>
      <c r="B46" s="878"/>
      <c r="C46" s="552"/>
      <c r="D46" s="552"/>
      <c r="E46" s="552"/>
      <c r="F46" s="552"/>
      <c r="G46" s="551"/>
      <c r="H46" s="31"/>
      <c r="I46" s="31"/>
      <c r="J46" s="31"/>
      <c r="K46" s="31"/>
      <c r="L46" s="31"/>
      <c r="M46" s="31"/>
      <c r="N46" s="536"/>
    </row>
    <row r="47" spans="1:14" s="370" customFormat="1">
      <c r="A47" s="553" t="s">
        <v>1028</v>
      </c>
      <c r="B47" s="554">
        <f>E40</f>
        <v>250</v>
      </c>
      <c r="C47" s="555"/>
      <c r="D47" s="556"/>
      <c r="E47" s="556"/>
      <c r="F47" s="556"/>
      <c r="G47" s="551"/>
      <c r="H47" s="31"/>
      <c r="I47" s="31"/>
      <c r="J47" s="31"/>
      <c r="K47" s="31"/>
      <c r="L47" s="31"/>
      <c r="M47" s="31"/>
      <c r="N47" s="536"/>
    </row>
    <row r="48" spans="1:14" s="370" customFormat="1">
      <c r="A48" s="557" t="s">
        <v>1029</v>
      </c>
      <c r="B48" s="558">
        <f>F40</f>
        <v>250</v>
      </c>
      <c r="C48" s="555"/>
      <c r="D48" s="556"/>
      <c r="E48" s="556"/>
      <c r="F48" s="556"/>
      <c r="G48" s="551"/>
      <c r="H48" s="31"/>
      <c r="I48" s="31"/>
      <c r="J48" s="31"/>
      <c r="K48" s="31"/>
      <c r="L48" s="31"/>
      <c r="M48" s="31"/>
      <c r="N48" s="536"/>
    </row>
    <row r="49" spans="1:14" s="370" customFormat="1">
      <c r="A49" s="559" t="s">
        <v>259</v>
      </c>
      <c r="B49" s="560">
        <f>B48-B47</f>
        <v>0</v>
      </c>
      <c r="C49" s="555"/>
      <c r="D49" s="556"/>
      <c r="E49" s="556"/>
      <c r="F49" s="556"/>
      <c r="G49" s="551"/>
      <c r="H49" s="31"/>
      <c r="I49" s="31"/>
      <c r="J49" s="31"/>
      <c r="K49" s="31"/>
      <c r="L49" s="31"/>
      <c r="M49" s="31"/>
      <c r="N49" s="536"/>
    </row>
    <row r="50" spans="1:14" s="370" customFormat="1">
      <c r="A50" s="559" t="s">
        <v>260</v>
      </c>
      <c r="B50" s="561">
        <f>B49/B47</f>
        <v>0</v>
      </c>
      <c r="C50" s="555"/>
      <c r="D50" s="556"/>
      <c r="E50" s="556"/>
      <c r="F50" s="556"/>
      <c r="G50" s="551"/>
      <c r="H50" s="31"/>
      <c r="I50" s="31"/>
      <c r="J50" s="31"/>
      <c r="K50" s="31"/>
      <c r="L50" s="31"/>
      <c r="M50" s="31"/>
      <c r="N50" s="536"/>
    </row>
    <row r="51" spans="1:14" s="370" customFormat="1">
      <c r="A51" s="562"/>
      <c r="B51" s="556"/>
      <c r="C51" s="660"/>
      <c r="D51" s="556"/>
      <c r="E51" s="556"/>
      <c r="F51" s="556"/>
      <c r="G51" s="551"/>
      <c r="H51" s="31"/>
      <c r="I51" s="31"/>
      <c r="J51" s="31"/>
      <c r="K51" s="31"/>
      <c r="L51" s="31"/>
      <c r="M51" s="31"/>
      <c r="N51" s="536"/>
    </row>
    <row r="52" spans="1:14" s="370" customFormat="1">
      <c r="A52" s="879" t="s">
        <v>261</v>
      </c>
      <c r="B52" s="880"/>
      <c r="C52" s="880"/>
      <c r="D52" s="880"/>
      <c r="E52" s="880"/>
      <c r="F52" s="880"/>
      <c r="G52" s="551"/>
      <c r="H52" s="31"/>
      <c r="I52" s="31"/>
      <c r="J52" s="31"/>
      <c r="K52" s="31"/>
      <c r="L52" s="31"/>
      <c r="M52" s="31"/>
      <c r="N52" s="536"/>
    </row>
    <row r="53" spans="1:14" s="370" customFormat="1" ht="31.25" customHeight="1">
      <c r="A53" s="900" t="s">
        <v>357</v>
      </c>
      <c r="B53" s="901"/>
      <c r="C53" s="901"/>
      <c r="D53" s="901"/>
      <c r="E53" s="901"/>
      <c r="F53" s="902"/>
      <c r="G53" s="551"/>
      <c r="H53" s="31"/>
      <c r="I53" s="31"/>
      <c r="J53" s="31"/>
      <c r="K53" s="31"/>
      <c r="L53" s="31"/>
      <c r="M53" s="31"/>
      <c r="N53" s="536"/>
    </row>
    <row r="54" spans="1:14" s="370" customFormat="1">
      <c r="A54" s="563"/>
      <c r="B54" s="564"/>
      <c r="C54" s="564"/>
      <c r="D54" s="564"/>
      <c r="E54" s="564"/>
      <c r="F54" s="564"/>
      <c r="G54" s="551"/>
      <c r="H54" s="31"/>
      <c r="I54" s="31"/>
      <c r="J54" s="31"/>
      <c r="K54" s="31"/>
      <c r="L54" s="31"/>
      <c r="M54" s="31"/>
      <c r="N54" s="536"/>
    </row>
    <row r="55" spans="1:14" s="370" customFormat="1">
      <c r="A55" s="565" t="s">
        <v>262</v>
      </c>
      <c r="B55" s="556"/>
      <c r="C55" s="722"/>
      <c r="D55" s="556"/>
      <c r="E55" s="556"/>
      <c r="F55" s="556"/>
      <c r="G55" s="551"/>
      <c r="H55" s="31"/>
      <c r="I55" s="31"/>
      <c r="J55" s="31"/>
      <c r="K55" s="31"/>
      <c r="L55" s="31"/>
      <c r="M55" s="31"/>
      <c r="N55" s="536"/>
    </row>
    <row r="56" spans="1:14" s="370" customFormat="1" ht="142.5" customHeight="1">
      <c r="A56" s="900" t="s">
        <v>1147</v>
      </c>
      <c r="B56" s="901"/>
      <c r="C56" s="901"/>
      <c r="D56" s="901"/>
      <c r="E56" s="901"/>
      <c r="F56" s="902"/>
      <c r="G56" s="551"/>
      <c r="H56" s="31"/>
      <c r="I56" s="31"/>
      <c r="J56" s="31"/>
      <c r="K56" s="31"/>
      <c r="L56" s="31"/>
      <c r="M56" s="31"/>
      <c r="N56" s="536"/>
    </row>
    <row r="57" spans="1:14" s="370" customFormat="1">
      <c r="A57" s="562"/>
      <c r="B57" s="556"/>
      <c r="C57" s="722"/>
      <c r="D57" s="556"/>
      <c r="E57" s="556"/>
      <c r="F57" s="556"/>
      <c r="G57" s="551"/>
      <c r="H57" s="31"/>
      <c r="I57" s="31"/>
      <c r="J57" s="31"/>
      <c r="K57" s="31"/>
      <c r="L57" s="31"/>
      <c r="M57" s="31"/>
      <c r="N57" s="536"/>
    </row>
    <row r="58" spans="1:14" s="370" customFormat="1">
      <c r="A58" s="879" t="s">
        <v>1020</v>
      </c>
      <c r="B58" s="880"/>
      <c r="C58" s="880"/>
      <c r="D58" s="880"/>
      <c r="E58" s="880"/>
      <c r="F58" s="880"/>
      <c r="G58" s="551"/>
      <c r="H58" s="31"/>
      <c r="I58" s="31"/>
      <c r="J58" s="31"/>
      <c r="K58" s="31"/>
      <c r="L58" s="31"/>
      <c r="M58" s="31"/>
      <c r="N58" s="536"/>
    </row>
    <row r="59" spans="1:14" s="370" customFormat="1">
      <c r="A59" s="898" t="s">
        <v>1021</v>
      </c>
      <c r="B59" s="899"/>
      <c r="C59" s="899"/>
      <c r="D59" s="899"/>
      <c r="E59" s="899"/>
      <c r="F59" s="899"/>
      <c r="G59" s="551"/>
      <c r="H59" s="31"/>
      <c r="I59" s="31"/>
      <c r="J59" s="31"/>
      <c r="K59" s="31"/>
      <c r="L59" s="31"/>
      <c r="M59" s="31"/>
      <c r="N59" s="536"/>
    </row>
    <row r="60" spans="1:14" s="370" customFormat="1" ht="83" customHeight="1">
      <c r="A60" s="900" t="s">
        <v>1182</v>
      </c>
      <c r="B60" s="890"/>
      <c r="C60" s="890"/>
      <c r="D60" s="890"/>
      <c r="E60" s="890"/>
      <c r="F60" s="891"/>
      <c r="G60" s="551"/>
      <c r="H60" s="31"/>
      <c r="I60" s="31"/>
      <c r="J60" s="31"/>
      <c r="K60" s="31"/>
      <c r="L60" s="31"/>
      <c r="M60" s="31"/>
      <c r="N60" s="536"/>
    </row>
    <row r="61" spans="1:14" s="370" customFormat="1">
      <c r="A61" s="565"/>
      <c r="B61" s="556"/>
      <c r="C61" s="722"/>
      <c r="D61" s="556"/>
      <c r="E61" s="556"/>
      <c r="F61" s="556"/>
      <c r="G61" s="551"/>
      <c r="H61" s="31"/>
      <c r="I61" s="31"/>
      <c r="J61" s="31"/>
      <c r="K61" s="31"/>
      <c r="L61" s="31"/>
      <c r="M61" s="31"/>
      <c r="N61" s="536"/>
    </row>
    <row r="62" spans="1:14" s="370" customFormat="1">
      <c r="A62" s="879" t="s">
        <v>264</v>
      </c>
      <c r="B62" s="880"/>
      <c r="C62" s="880"/>
      <c r="D62" s="880"/>
      <c r="E62" s="880"/>
      <c r="F62" s="556"/>
      <c r="G62" s="551"/>
      <c r="H62" s="31"/>
      <c r="I62" s="31"/>
      <c r="J62" s="31"/>
      <c r="K62" s="31"/>
      <c r="L62" s="31"/>
      <c r="M62" s="31"/>
      <c r="N62" s="536"/>
    </row>
    <row r="63" spans="1:14" s="370" customFormat="1" ht="17.149999999999999" customHeight="1">
      <c r="A63" s="889" t="s">
        <v>358</v>
      </c>
      <c r="B63" s="890"/>
      <c r="C63" s="890"/>
      <c r="D63" s="890"/>
      <c r="E63" s="890"/>
      <c r="F63" s="891"/>
      <c r="G63" s="551"/>
      <c r="H63" s="31"/>
      <c r="I63" s="31"/>
      <c r="J63" s="31"/>
      <c r="K63" s="31"/>
      <c r="L63" s="31"/>
      <c r="M63" s="31"/>
      <c r="N63" s="536"/>
    </row>
    <row r="64" spans="1:14" s="370" customFormat="1">
      <c r="A64" s="562"/>
      <c r="B64" s="556"/>
      <c r="C64" s="722"/>
      <c r="D64" s="556"/>
      <c r="E64" s="556"/>
      <c r="F64" s="556"/>
      <c r="G64" s="551"/>
      <c r="H64" s="31"/>
      <c r="I64" s="31"/>
      <c r="J64" s="31"/>
      <c r="K64" s="31"/>
      <c r="L64" s="31"/>
      <c r="M64" s="31"/>
      <c r="N64" s="536"/>
    </row>
    <row r="65" spans="1:14" s="370" customFormat="1">
      <c r="A65" s="565" t="s">
        <v>265</v>
      </c>
      <c r="B65" s="556"/>
      <c r="C65" s="722"/>
      <c r="D65" s="556"/>
      <c r="E65" s="556"/>
      <c r="F65" s="556"/>
      <c r="G65" s="551"/>
      <c r="H65" s="31"/>
      <c r="I65" s="31"/>
      <c r="J65" s="31"/>
      <c r="K65" s="31"/>
      <c r="L65" s="31"/>
      <c r="M65" s="31"/>
      <c r="N65" s="536"/>
    </row>
    <row r="66" spans="1:14" s="370" customFormat="1">
      <c r="A66" s="566" t="s">
        <v>266</v>
      </c>
      <c r="B66" s="556"/>
      <c r="C66" s="722"/>
      <c r="D66" s="556"/>
      <c r="E66" s="556"/>
      <c r="F66" s="556"/>
      <c r="G66" s="551"/>
      <c r="H66" s="31"/>
      <c r="I66" s="31"/>
      <c r="J66" s="31"/>
      <c r="K66" s="31"/>
      <c r="L66" s="31"/>
      <c r="M66" s="31"/>
      <c r="N66" s="536"/>
    </row>
    <row r="67" spans="1:14" s="370" customFormat="1" ht="26.25" customHeight="1">
      <c r="A67" s="892" t="s">
        <v>1030</v>
      </c>
      <c r="B67" s="893"/>
      <c r="C67" s="893"/>
      <c r="D67" s="893"/>
      <c r="E67" s="893"/>
      <c r="F67" s="893"/>
      <c r="G67" s="551"/>
      <c r="H67" s="31"/>
      <c r="I67" s="31"/>
      <c r="J67" s="31"/>
      <c r="K67" s="31"/>
      <c r="L67" s="31"/>
      <c r="M67" s="31"/>
      <c r="N67" s="536"/>
    </row>
    <row r="68" spans="1:14" s="370" customFormat="1" ht="45" customHeight="1">
      <c r="A68" s="900" t="s">
        <v>1180</v>
      </c>
      <c r="B68" s="901"/>
      <c r="C68" s="901"/>
      <c r="D68" s="901"/>
      <c r="E68" s="901"/>
      <c r="F68" s="902"/>
      <c r="G68" s="551"/>
      <c r="H68" s="31"/>
      <c r="I68" s="31"/>
      <c r="J68" s="31"/>
      <c r="K68" s="31"/>
      <c r="L68" s="31"/>
      <c r="M68" s="31"/>
      <c r="N68" s="536"/>
    </row>
    <row r="69" spans="1:14" s="370" customFormat="1">
      <c r="A69" s="894"/>
      <c r="B69" s="895"/>
      <c r="C69" s="895"/>
      <c r="D69" s="895"/>
      <c r="E69" s="895"/>
      <c r="F69" s="895"/>
      <c r="G69" s="551"/>
      <c r="H69" s="31"/>
      <c r="I69" s="31"/>
      <c r="J69" s="31"/>
      <c r="K69" s="31"/>
      <c r="L69" s="31"/>
      <c r="M69" s="31"/>
      <c r="N69" s="536"/>
    </row>
    <row r="70" spans="1:14" s="370" customFormat="1">
      <c r="A70" s="566" t="s">
        <v>268</v>
      </c>
      <c r="B70" s="556"/>
      <c r="C70" s="722"/>
      <c r="D70" s="556"/>
      <c r="E70" s="556"/>
      <c r="F70" s="556"/>
      <c r="G70" s="551"/>
      <c r="H70" s="31"/>
      <c r="I70" s="31"/>
      <c r="J70" s="31"/>
      <c r="K70" s="31"/>
      <c r="L70" s="31"/>
      <c r="M70" s="31"/>
      <c r="N70" s="536"/>
    </row>
    <row r="71" spans="1:14" s="370" customFormat="1" ht="43.5" customHeight="1">
      <c r="A71" s="896" t="s">
        <v>269</v>
      </c>
      <c r="B71" s="897"/>
      <c r="C71" s="897"/>
      <c r="D71" s="897"/>
      <c r="E71" s="897"/>
      <c r="F71" s="897"/>
      <c r="G71" s="551"/>
      <c r="H71" s="31"/>
      <c r="I71" s="31"/>
      <c r="J71" s="31"/>
      <c r="K71" s="31"/>
      <c r="L71" s="31"/>
      <c r="M71" s="31"/>
      <c r="N71" s="536"/>
    </row>
    <row r="72" spans="1:14" s="370" customFormat="1" ht="113" customHeight="1">
      <c r="A72" s="900" t="s">
        <v>1181</v>
      </c>
      <c r="B72" s="901"/>
      <c r="C72" s="901"/>
      <c r="D72" s="901"/>
      <c r="E72" s="901"/>
      <c r="F72" s="902"/>
      <c r="G72" s="551"/>
      <c r="H72" s="31"/>
      <c r="I72" s="31"/>
      <c r="J72" s="31"/>
      <c r="K72" s="31"/>
      <c r="L72" s="31"/>
      <c r="M72" s="31"/>
      <c r="N72" s="536"/>
    </row>
    <row r="73" spans="1:14" s="370" customFormat="1" ht="15" thickBot="1">
      <c r="A73" s="567"/>
      <c r="B73" s="568"/>
      <c r="C73" s="569"/>
      <c r="D73" s="568"/>
      <c r="E73" s="568"/>
      <c r="F73" s="568"/>
      <c r="G73" s="570"/>
      <c r="H73" s="31"/>
      <c r="I73" s="31"/>
      <c r="J73" s="31"/>
      <c r="K73" s="31"/>
      <c r="L73" s="31"/>
      <c r="M73" s="31"/>
      <c r="N73" s="536"/>
    </row>
    <row r="74" spans="1:14" s="370" customFormat="1">
      <c r="A74" s="31"/>
      <c r="B74" s="31"/>
      <c r="C74" s="32"/>
      <c r="D74" s="31"/>
      <c r="E74" s="31"/>
      <c r="F74" s="31"/>
      <c r="G74" s="31"/>
      <c r="H74" s="31"/>
      <c r="I74" s="31"/>
      <c r="J74" s="31"/>
      <c r="K74" s="31"/>
      <c r="L74" s="31"/>
      <c r="M74" s="31"/>
      <c r="N74" s="536"/>
    </row>
    <row r="75" spans="1:14" s="370" customFormat="1">
      <c r="C75" s="723"/>
    </row>
    <row r="76" spans="1:14" s="370" customFormat="1">
      <c r="C76" s="723"/>
    </row>
    <row r="77" spans="1:14" s="370" customFormat="1">
      <c r="C77" s="723"/>
    </row>
    <row r="78" spans="1:14" s="370" customFormat="1">
      <c r="C78" s="661"/>
    </row>
    <row r="79" spans="1:14" s="370" customFormat="1">
      <c r="C79" s="661"/>
    </row>
    <row r="80" spans="1:14" s="370" customFormat="1">
      <c r="C80" s="661"/>
    </row>
    <row r="81" spans="3:3" s="370" customFormat="1">
      <c r="C81" s="661"/>
    </row>
    <row r="82" spans="3:3" s="370" customFormat="1">
      <c r="C82" s="661"/>
    </row>
    <row r="83" spans="3:3" s="370" customFormat="1">
      <c r="C83" s="661"/>
    </row>
    <row r="84" spans="3:3" s="370" customFormat="1">
      <c r="C84" s="661"/>
    </row>
    <row r="85" spans="3:3" s="370" customFormat="1">
      <c r="C85" s="661"/>
    </row>
    <row r="86" spans="3:3" s="370" customFormat="1">
      <c r="C86" s="661"/>
    </row>
    <row r="87" spans="3:3" s="370" customFormat="1">
      <c r="C87" s="661"/>
    </row>
    <row r="88" spans="3:3" s="370" customFormat="1">
      <c r="C88" s="661"/>
    </row>
    <row r="89" spans="3:3" s="370" customFormat="1">
      <c r="C89" s="661"/>
    </row>
    <row r="90" spans="3:3" s="370" customFormat="1">
      <c r="C90" s="661"/>
    </row>
    <row r="91" spans="3:3" s="370" customFormat="1">
      <c r="C91" s="661"/>
    </row>
    <row r="92" spans="3:3" s="370" customFormat="1">
      <c r="C92" s="661"/>
    </row>
    <row r="93" spans="3:3" s="370" customFormat="1">
      <c r="C93" s="661"/>
    </row>
    <row r="94" spans="3:3" s="370" customFormat="1">
      <c r="C94" s="661"/>
    </row>
    <row r="95" spans="3:3" s="370" customFormat="1">
      <c r="C95" s="661"/>
    </row>
    <row r="96" spans="3:3" s="370" customFormat="1">
      <c r="C96" s="661"/>
    </row>
    <row r="97" spans="3:3" s="370" customFormat="1">
      <c r="C97" s="661"/>
    </row>
    <row r="98" spans="3:3" s="370" customFormat="1">
      <c r="C98" s="661"/>
    </row>
    <row r="99" spans="3:3" s="370" customFormat="1">
      <c r="C99" s="661"/>
    </row>
    <row r="100" spans="3:3" s="370" customFormat="1">
      <c r="C100" s="661"/>
    </row>
    <row r="101" spans="3:3" s="370" customFormat="1">
      <c r="C101" s="661"/>
    </row>
    <row r="102" spans="3:3" s="370" customFormat="1">
      <c r="C102" s="661"/>
    </row>
    <row r="103" spans="3:3" s="370" customFormat="1">
      <c r="C103" s="661"/>
    </row>
    <row r="104" spans="3:3" s="370" customFormat="1">
      <c r="C104" s="661"/>
    </row>
    <row r="105" spans="3:3" s="370" customFormat="1">
      <c r="C105" s="661"/>
    </row>
    <row r="106" spans="3:3" s="370" customFormat="1">
      <c r="C106" s="661"/>
    </row>
    <row r="107" spans="3:3" s="370" customFormat="1">
      <c r="C107" s="661"/>
    </row>
    <row r="108" spans="3:3" s="370" customFormat="1">
      <c r="C108" s="661"/>
    </row>
    <row r="109" spans="3:3" s="370" customFormat="1">
      <c r="C109" s="661"/>
    </row>
    <row r="110" spans="3:3" s="370" customFormat="1">
      <c r="C110" s="661"/>
    </row>
    <row r="111" spans="3:3" s="370" customFormat="1">
      <c r="C111" s="661"/>
    </row>
    <row r="112" spans="3:3" s="370" customFormat="1">
      <c r="C112" s="661"/>
    </row>
    <row r="113" spans="3:3" s="370" customFormat="1">
      <c r="C113" s="661"/>
    </row>
    <row r="114" spans="3:3" s="370" customFormat="1">
      <c r="C114" s="661"/>
    </row>
    <row r="115" spans="3:3" s="370" customFormat="1">
      <c r="C115" s="661"/>
    </row>
    <row r="116" spans="3:3" s="370" customFormat="1">
      <c r="C116" s="661"/>
    </row>
    <row r="117" spans="3:3" s="370" customFormat="1">
      <c r="C117" s="661"/>
    </row>
    <row r="118" spans="3:3" s="370" customFormat="1">
      <c r="C118" s="661"/>
    </row>
    <row r="119" spans="3:3" s="370" customFormat="1">
      <c r="C119" s="661"/>
    </row>
    <row r="120" spans="3:3" s="370" customFormat="1">
      <c r="C120" s="661"/>
    </row>
    <row r="121" spans="3:3" s="370" customFormat="1">
      <c r="C121" s="661"/>
    </row>
    <row r="122" spans="3:3" s="370" customFormat="1">
      <c r="C122" s="661"/>
    </row>
    <row r="123" spans="3:3" s="370" customFormat="1">
      <c r="C123" s="661"/>
    </row>
    <row r="124" spans="3:3" s="370" customFormat="1">
      <c r="C124" s="661"/>
    </row>
    <row r="125" spans="3:3" s="370" customFormat="1">
      <c r="C125" s="661"/>
    </row>
    <row r="126" spans="3:3" s="370" customFormat="1">
      <c r="C126" s="661"/>
    </row>
    <row r="127" spans="3:3" s="370" customFormat="1">
      <c r="C127" s="661"/>
    </row>
    <row r="128" spans="3:3" s="370" customFormat="1">
      <c r="C128" s="661"/>
    </row>
    <row r="129" spans="3:3" s="370" customFormat="1">
      <c r="C129" s="661"/>
    </row>
    <row r="130" spans="3:3" s="370" customFormat="1">
      <c r="C130" s="661"/>
    </row>
    <row r="131" spans="3:3" s="370" customFormat="1">
      <c r="C131" s="661"/>
    </row>
    <row r="132" spans="3:3" s="370" customFormat="1">
      <c r="C132" s="661"/>
    </row>
    <row r="133" spans="3:3" s="370" customFormat="1">
      <c r="C133" s="661"/>
    </row>
    <row r="134" spans="3:3" s="370" customFormat="1">
      <c r="C134" s="661"/>
    </row>
    <row r="135" spans="3:3" s="370" customFormat="1">
      <c r="C135" s="661"/>
    </row>
    <row r="136" spans="3:3" s="370" customFormat="1">
      <c r="C136" s="661"/>
    </row>
    <row r="137" spans="3:3" s="370" customFormat="1">
      <c r="C137" s="661"/>
    </row>
    <row r="138" spans="3:3" s="370" customFormat="1">
      <c r="C138" s="661"/>
    </row>
    <row r="139" spans="3:3" s="370" customFormat="1">
      <c r="C139" s="661"/>
    </row>
    <row r="140" spans="3:3" s="370" customFormat="1">
      <c r="C140" s="661"/>
    </row>
    <row r="141" spans="3:3" s="370" customFormat="1">
      <c r="C141" s="661"/>
    </row>
    <row r="142" spans="3:3" s="370" customFormat="1">
      <c r="C142" s="661"/>
    </row>
    <row r="143" spans="3:3" s="370" customFormat="1">
      <c r="C143" s="661"/>
    </row>
    <row r="144" spans="3:3" s="370" customFormat="1">
      <c r="C144" s="661"/>
    </row>
    <row r="145" spans="3:3" s="370" customFormat="1">
      <c r="C145" s="661"/>
    </row>
    <row r="146" spans="3:3" s="370" customFormat="1">
      <c r="C146" s="661"/>
    </row>
    <row r="147" spans="3:3" s="370" customFormat="1">
      <c r="C147" s="661"/>
    </row>
    <row r="148" spans="3:3" s="370" customFormat="1">
      <c r="C148" s="661"/>
    </row>
    <row r="149" spans="3:3" s="370" customFormat="1">
      <c r="C149" s="661"/>
    </row>
    <row r="150" spans="3:3" s="370" customFormat="1">
      <c r="C150" s="661"/>
    </row>
    <row r="151" spans="3:3" s="370" customFormat="1">
      <c r="C151" s="661"/>
    </row>
    <row r="152" spans="3:3" s="370" customFormat="1">
      <c r="C152" s="661"/>
    </row>
    <row r="153" spans="3:3" s="370" customFormat="1">
      <c r="C153" s="661"/>
    </row>
    <row r="154" spans="3:3" s="370" customFormat="1">
      <c r="C154" s="661"/>
    </row>
    <row r="155" spans="3:3" s="370" customFormat="1">
      <c r="C155" s="661"/>
    </row>
    <row r="156" spans="3:3" s="370" customFormat="1">
      <c r="C156" s="661"/>
    </row>
    <row r="157" spans="3:3" s="370" customFormat="1">
      <c r="C157" s="661"/>
    </row>
    <row r="158" spans="3:3" s="370" customFormat="1">
      <c r="C158" s="661"/>
    </row>
    <row r="159" spans="3:3" s="370" customFormat="1">
      <c r="C159" s="661"/>
    </row>
    <row r="160" spans="3:3" s="370" customFormat="1">
      <c r="C160" s="661"/>
    </row>
    <row r="161" spans="3:3" s="370" customFormat="1">
      <c r="C161" s="661"/>
    </row>
    <row r="162" spans="3:3" s="370" customFormat="1">
      <c r="C162" s="661"/>
    </row>
    <row r="163" spans="3:3" s="370" customFormat="1">
      <c r="C163" s="661"/>
    </row>
    <row r="164" spans="3:3" s="370" customFormat="1">
      <c r="C164" s="661"/>
    </row>
    <row r="165" spans="3:3" s="370" customFormat="1">
      <c r="C165" s="661"/>
    </row>
    <row r="166" spans="3:3" s="370" customFormat="1">
      <c r="C166" s="661"/>
    </row>
    <row r="167" spans="3:3" s="370" customFormat="1">
      <c r="C167" s="661"/>
    </row>
    <row r="168" spans="3:3" s="370" customFormat="1">
      <c r="C168" s="661"/>
    </row>
    <row r="169" spans="3:3" s="370" customFormat="1">
      <c r="C169" s="661"/>
    </row>
    <row r="170" spans="3:3" s="370" customFormat="1">
      <c r="C170" s="661"/>
    </row>
    <row r="171" spans="3:3" s="370" customFormat="1">
      <c r="C171" s="661"/>
    </row>
    <row r="172" spans="3:3" s="370" customFormat="1">
      <c r="C172" s="661"/>
    </row>
    <row r="173" spans="3:3" s="370" customFormat="1">
      <c r="C173" s="661"/>
    </row>
    <row r="174" spans="3:3" s="370" customFormat="1">
      <c r="C174" s="661"/>
    </row>
    <row r="175" spans="3:3" s="370" customFormat="1">
      <c r="C175" s="661"/>
    </row>
    <row r="176" spans="3:3" s="370" customFormat="1">
      <c r="C176" s="661"/>
    </row>
    <row r="177" spans="3:3" s="370" customFormat="1">
      <c r="C177" s="661"/>
    </row>
    <row r="178" spans="3:3" s="370" customFormat="1">
      <c r="C178" s="661"/>
    </row>
    <row r="179" spans="3:3" s="370" customFormat="1">
      <c r="C179" s="661"/>
    </row>
    <row r="180" spans="3:3" s="370" customFormat="1">
      <c r="C180" s="661"/>
    </row>
    <row r="181" spans="3:3" s="370" customFormat="1">
      <c r="C181" s="661"/>
    </row>
    <row r="182" spans="3:3" s="370" customFormat="1">
      <c r="C182" s="661"/>
    </row>
    <row r="183" spans="3:3" s="370" customFormat="1">
      <c r="C183" s="661"/>
    </row>
    <row r="184" spans="3:3" s="370" customFormat="1">
      <c r="C184" s="661"/>
    </row>
    <row r="185" spans="3:3" s="370" customFormat="1">
      <c r="C185" s="661"/>
    </row>
    <row r="186" spans="3:3" s="370" customFormat="1">
      <c r="C186" s="661"/>
    </row>
    <row r="187" spans="3:3" s="370" customFormat="1">
      <c r="C187" s="661"/>
    </row>
    <row r="188" spans="3:3" s="370" customFormat="1">
      <c r="C188" s="661"/>
    </row>
    <row r="189" spans="3:3" s="370" customFormat="1">
      <c r="C189" s="661"/>
    </row>
    <row r="190" spans="3:3" s="370" customFormat="1">
      <c r="C190" s="661"/>
    </row>
    <row r="191" spans="3:3" s="370" customFormat="1">
      <c r="C191" s="661"/>
    </row>
    <row r="192" spans="3:3" s="370" customFormat="1">
      <c r="C192" s="661"/>
    </row>
    <row r="193" spans="3:3" s="370" customFormat="1">
      <c r="C193" s="661"/>
    </row>
    <row r="194" spans="3:3" s="370" customFormat="1">
      <c r="C194" s="661"/>
    </row>
    <row r="195" spans="3:3" s="370" customFormat="1">
      <c r="C195" s="661"/>
    </row>
    <row r="196" spans="3:3" s="370" customFormat="1">
      <c r="C196" s="661"/>
    </row>
    <row r="197" spans="3:3" s="370" customFormat="1">
      <c r="C197" s="661"/>
    </row>
    <row r="198" spans="3:3" s="370" customFormat="1">
      <c r="C198" s="661"/>
    </row>
    <row r="199" spans="3:3" s="370" customFormat="1">
      <c r="C199" s="661"/>
    </row>
    <row r="200" spans="3:3" s="370" customFormat="1">
      <c r="C200" s="661"/>
    </row>
    <row r="201" spans="3:3" s="370" customFormat="1">
      <c r="C201" s="661"/>
    </row>
    <row r="202" spans="3:3" s="370" customFormat="1">
      <c r="C202" s="661"/>
    </row>
    <row r="203" spans="3:3" s="370" customFormat="1">
      <c r="C203" s="661"/>
    </row>
    <row r="204" spans="3:3" s="370" customFormat="1">
      <c r="C204" s="661"/>
    </row>
    <row r="205" spans="3:3" s="370" customFormat="1">
      <c r="C205" s="661"/>
    </row>
    <row r="206" spans="3:3" s="370" customFormat="1">
      <c r="C206" s="661"/>
    </row>
    <row r="207" spans="3:3" s="370" customFormat="1">
      <c r="C207" s="661"/>
    </row>
    <row r="208" spans="3:3" s="370" customFormat="1">
      <c r="C208" s="661"/>
    </row>
    <row r="209" spans="3:3" s="370" customFormat="1">
      <c r="C209" s="661"/>
    </row>
    <row r="210" spans="3:3" s="370" customFormat="1">
      <c r="C210" s="661"/>
    </row>
    <row r="211" spans="3:3" s="370" customFormat="1">
      <c r="C211" s="661"/>
    </row>
    <row r="212" spans="3:3" s="370" customFormat="1">
      <c r="C212" s="661"/>
    </row>
    <row r="213" spans="3:3" s="370" customFormat="1">
      <c r="C213" s="661"/>
    </row>
    <row r="214" spans="3:3" s="370" customFormat="1">
      <c r="C214" s="661"/>
    </row>
    <row r="215" spans="3:3" s="370" customFormat="1">
      <c r="C215" s="661"/>
    </row>
    <row r="216" spans="3:3" s="370" customFormat="1">
      <c r="C216" s="661"/>
    </row>
    <row r="217" spans="3:3" s="370" customFormat="1">
      <c r="C217" s="661"/>
    </row>
    <row r="218" spans="3:3" s="370" customFormat="1">
      <c r="C218" s="661"/>
    </row>
    <row r="219" spans="3:3" s="370" customFormat="1">
      <c r="C219" s="661"/>
    </row>
    <row r="220" spans="3:3" s="370" customFormat="1">
      <c r="C220" s="661"/>
    </row>
    <row r="221" spans="3:3" s="370" customFormat="1">
      <c r="C221" s="661"/>
    </row>
    <row r="222" spans="3:3" s="370" customFormat="1">
      <c r="C222" s="661"/>
    </row>
    <row r="223" spans="3:3" s="370" customFormat="1">
      <c r="C223" s="661"/>
    </row>
    <row r="224" spans="3:3" s="370" customFormat="1">
      <c r="C224" s="661"/>
    </row>
    <row r="225" spans="3:3" s="370" customFormat="1">
      <c r="C225" s="661"/>
    </row>
    <row r="226" spans="3:3" s="370" customFormat="1">
      <c r="C226" s="661"/>
    </row>
    <row r="227" spans="3:3" s="370" customFormat="1">
      <c r="C227" s="661"/>
    </row>
    <row r="228" spans="3:3" s="370" customFormat="1">
      <c r="C228" s="661"/>
    </row>
    <row r="229" spans="3:3" s="370" customFormat="1">
      <c r="C229" s="661"/>
    </row>
    <row r="230" spans="3:3" s="370" customFormat="1">
      <c r="C230" s="661"/>
    </row>
    <row r="231" spans="3:3" s="370" customFormat="1">
      <c r="C231" s="661"/>
    </row>
    <row r="232" spans="3:3" s="370" customFormat="1">
      <c r="C232" s="661"/>
    </row>
    <row r="233" spans="3:3" s="370" customFormat="1">
      <c r="C233" s="661"/>
    </row>
    <row r="234" spans="3:3" s="370" customFormat="1">
      <c r="C234" s="661"/>
    </row>
    <row r="235" spans="3:3" s="370" customFormat="1">
      <c r="C235" s="661"/>
    </row>
    <row r="236" spans="3:3" s="370" customFormat="1">
      <c r="C236" s="661"/>
    </row>
    <row r="237" spans="3:3" s="370" customFormat="1">
      <c r="C237" s="661"/>
    </row>
    <row r="238" spans="3:3" s="370" customFormat="1">
      <c r="C238" s="661"/>
    </row>
    <row r="239" spans="3:3" s="370" customFormat="1">
      <c r="C239" s="661"/>
    </row>
    <row r="240" spans="3:3" s="370" customFormat="1">
      <c r="C240" s="661"/>
    </row>
    <row r="241" spans="3:3" s="370" customFormat="1">
      <c r="C241" s="661"/>
    </row>
    <row r="242" spans="3:3" s="370" customFormat="1">
      <c r="C242" s="661"/>
    </row>
    <row r="243" spans="3:3" s="370" customFormat="1">
      <c r="C243" s="661"/>
    </row>
    <row r="244" spans="3:3" s="370" customFormat="1">
      <c r="C244" s="661"/>
    </row>
    <row r="245" spans="3:3" s="370" customFormat="1">
      <c r="C245" s="661"/>
    </row>
    <row r="246" spans="3:3" s="370" customFormat="1">
      <c r="C246" s="661"/>
    </row>
    <row r="247" spans="3:3" s="370" customFormat="1">
      <c r="C247" s="661"/>
    </row>
    <row r="248" spans="3:3" s="370" customFormat="1">
      <c r="C248" s="661"/>
    </row>
  </sheetData>
  <mergeCells count="17">
    <mergeCell ref="A71:F71"/>
    <mergeCell ref="A72:F72"/>
    <mergeCell ref="A62:E62"/>
    <mergeCell ref="A63:F63"/>
    <mergeCell ref="A67:F67"/>
    <mergeCell ref="A68:F68"/>
    <mergeCell ref="A69:F69"/>
    <mergeCell ref="A53:F53"/>
    <mergeCell ref="A56:F56"/>
    <mergeCell ref="A58:F58"/>
    <mergeCell ref="A59:F59"/>
    <mergeCell ref="A60:F60"/>
    <mergeCell ref="A1:N1"/>
    <mergeCell ref="A44:F44"/>
    <mergeCell ref="A45:F45"/>
    <mergeCell ref="A46:B46"/>
    <mergeCell ref="A52:F52"/>
  </mergeCells>
  <printOptions horizontalCentered="1"/>
  <pageMargins left="0.2" right="0.2" top="0.75" bottom="0.75" header="0.3" footer="0.3"/>
  <pageSetup scale="72" fitToHeight="0" orientation="landscape" r:id="rId1"/>
  <headerFooter>
    <oddHeader xml:space="preserve">&amp;CDRAFT NOT FOR DISTRIBUTION, INTERNAL USE ONLY
</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97BD-C50A-4ED7-AF5E-4E35D851F990}">
  <sheetPr>
    <tabColor theme="6" tint="0.39997558519241921"/>
  </sheetPr>
  <dimension ref="A1:N86"/>
  <sheetViews>
    <sheetView workbookViewId="0">
      <selection sqref="A1:N1"/>
    </sheetView>
  </sheetViews>
  <sheetFormatPr defaultRowHeight="14.5"/>
  <cols>
    <col min="1" max="1" width="50.81640625" style="370" bestFit="1" customWidth="1"/>
    <col min="2" max="2" width="12.453125" style="370" customWidth="1"/>
    <col min="3" max="3" width="7.7265625" style="833" customWidth="1"/>
    <col min="4" max="4" width="8.7265625" style="370"/>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ustomWidth="1"/>
    <col min="14" max="14" width="45.81640625" style="834" customWidth="1"/>
    <col min="15" max="15" width="57.453125" style="370" customWidth="1"/>
    <col min="16" max="16384" width="8.7265625" style="370"/>
  </cols>
  <sheetData>
    <row r="1" spans="1:14" s="571" customFormat="1" ht="15.5">
      <c r="A1" s="854" t="s">
        <v>346</v>
      </c>
      <c r="B1" s="854"/>
      <c r="C1" s="854"/>
      <c r="D1" s="854"/>
      <c r="E1" s="854"/>
      <c r="F1" s="854"/>
      <c r="G1" s="854"/>
      <c r="H1" s="854"/>
      <c r="I1" s="854"/>
      <c r="J1" s="854"/>
      <c r="K1" s="854"/>
      <c r="L1" s="854"/>
      <c r="M1" s="854"/>
      <c r="N1" s="854"/>
    </row>
    <row r="2" spans="1:14">
      <c r="A2" s="839" t="s">
        <v>1548</v>
      </c>
    </row>
    <row r="3" spans="1:14">
      <c r="A3" s="506" t="s">
        <v>1549</v>
      </c>
    </row>
    <row r="4" spans="1:14">
      <c r="A4" s="506" t="s">
        <v>1550</v>
      </c>
      <c r="B4" s="31"/>
      <c r="C4" s="32"/>
      <c r="D4" s="31"/>
      <c r="E4" s="31"/>
    </row>
    <row r="5" spans="1:14" s="31" customFormat="1" ht="39">
      <c r="A5" s="33"/>
      <c r="B5" s="33" t="s">
        <v>212</v>
      </c>
      <c r="C5" s="1" t="s">
        <v>213</v>
      </c>
      <c r="D5" s="2" t="s">
        <v>273</v>
      </c>
      <c r="E5" s="34" t="s">
        <v>1028</v>
      </c>
      <c r="F5" s="176" t="s">
        <v>1551</v>
      </c>
      <c r="G5" s="176" t="s">
        <v>0</v>
      </c>
      <c r="H5" s="176" t="s">
        <v>1</v>
      </c>
      <c r="I5" s="176" t="s">
        <v>2</v>
      </c>
      <c r="J5" s="176" t="s">
        <v>3</v>
      </c>
      <c r="K5" s="176" t="s">
        <v>4</v>
      </c>
      <c r="L5" s="176" t="s">
        <v>26</v>
      </c>
      <c r="M5" s="2" t="s">
        <v>214</v>
      </c>
      <c r="N5" s="176" t="s">
        <v>523</v>
      </c>
    </row>
    <row r="6" spans="1:14">
      <c r="A6" s="125" t="s">
        <v>216</v>
      </c>
      <c r="B6" s="126"/>
      <c r="C6" s="127"/>
      <c r="D6" s="126"/>
      <c r="E6" s="126"/>
      <c r="F6" s="87"/>
      <c r="G6" s="87"/>
      <c r="H6" s="87"/>
      <c r="I6" s="87"/>
      <c r="J6" s="87"/>
      <c r="K6" s="87"/>
      <c r="L6" s="87"/>
      <c r="M6" s="87"/>
      <c r="N6" s="128"/>
    </row>
    <row r="7" spans="1:14">
      <c r="A7" s="57" t="s">
        <v>1555</v>
      </c>
      <c r="B7" s="57" t="s">
        <v>538</v>
      </c>
      <c r="C7" s="607" t="s">
        <v>218</v>
      </c>
      <c r="D7" s="38">
        <v>0.5</v>
      </c>
      <c r="E7" s="258"/>
      <c r="F7" s="303">
        <f>SUM(G7:M7)</f>
        <v>90</v>
      </c>
      <c r="G7" s="304">
        <v>0</v>
      </c>
      <c r="H7" s="304">
        <v>0</v>
      </c>
      <c r="I7" s="304">
        <v>0</v>
      </c>
      <c r="J7" s="304">
        <v>90</v>
      </c>
      <c r="K7" s="304">
        <v>0</v>
      </c>
      <c r="L7" s="304">
        <v>0</v>
      </c>
      <c r="M7" s="305">
        <v>0</v>
      </c>
      <c r="N7" s="320" t="s">
        <v>1552</v>
      </c>
    </row>
    <row r="8" spans="1:14">
      <c r="A8" s="57" t="s">
        <v>1555</v>
      </c>
      <c r="B8" s="57" t="s">
        <v>538</v>
      </c>
      <c r="C8" s="607" t="s">
        <v>218</v>
      </c>
      <c r="D8" s="39">
        <v>0.5</v>
      </c>
      <c r="E8" s="258"/>
      <c r="F8" s="303">
        <f t="shared" ref="F8:F12" si="0">SUM(G8:M8)</f>
        <v>90</v>
      </c>
      <c r="G8" s="304">
        <v>0</v>
      </c>
      <c r="H8" s="304">
        <v>0</v>
      </c>
      <c r="I8" s="304">
        <v>0</v>
      </c>
      <c r="J8" s="304">
        <v>90</v>
      </c>
      <c r="K8" s="304">
        <v>0</v>
      </c>
      <c r="L8" s="304">
        <v>0</v>
      </c>
      <c r="M8" s="305">
        <v>0</v>
      </c>
      <c r="N8" s="320" t="s">
        <v>1552</v>
      </c>
    </row>
    <row r="9" spans="1:14">
      <c r="A9" s="57" t="s">
        <v>382</v>
      </c>
      <c r="B9" s="530"/>
      <c r="C9" s="607" t="s">
        <v>218</v>
      </c>
      <c r="D9" s="39"/>
      <c r="E9" s="258"/>
      <c r="F9" s="303">
        <f t="shared" si="0"/>
        <v>0</v>
      </c>
      <c r="G9" s="304">
        <v>0</v>
      </c>
      <c r="H9" s="304">
        <v>0</v>
      </c>
      <c r="I9" s="304">
        <v>0</v>
      </c>
      <c r="J9" s="304">
        <v>0</v>
      </c>
      <c r="K9" s="304">
        <v>0</v>
      </c>
      <c r="L9" s="304">
        <v>0</v>
      </c>
      <c r="M9" s="305">
        <v>0</v>
      </c>
      <c r="N9" s="318"/>
    </row>
    <row r="10" spans="1:14">
      <c r="A10" s="57" t="s">
        <v>382</v>
      </c>
      <c r="B10" s="530"/>
      <c r="C10" s="607" t="s">
        <v>218</v>
      </c>
      <c r="D10" s="39"/>
      <c r="E10" s="258"/>
      <c r="F10" s="303">
        <f t="shared" si="0"/>
        <v>0</v>
      </c>
      <c r="G10" s="304"/>
      <c r="H10" s="304"/>
      <c r="I10" s="304"/>
      <c r="J10" s="304"/>
      <c r="K10" s="304">
        <v>0</v>
      </c>
      <c r="L10" s="304">
        <f>SUM(44-44)</f>
        <v>0</v>
      </c>
      <c r="M10" s="305"/>
      <c r="N10" s="318"/>
    </row>
    <row r="11" spans="1:14">
      <c r="A11" s="57" t="s">
        <v>382</v>
      </c>
      <c r="B11" s="601"/>
      <c r="C11" s="607"/>
      <c r="D11" s="39"/>
      <c r="E11" s="258"/>
      <c r="F11" s="303">
        <f t="shared" si="0"/>
        <v>0</v>
      </c>
      <c r="G11" s="304"/>
      <c r="H11" s="304"/>
      <c r="I11" s="304"/>
      <c r="J11" s="304"/>
      <c r="K11" s="304">
        <v>0</v>
      </c>
      <c r="L11" s="304"/>
      <c r="M11" s="305"/>
      <c r="N11" s="318"/>
    </row>
    <row r="12" spans="1:14">
      <c r="A12" s="57" t="s">
        <v>382</v>
      </c>
      <c r="B12" s="601"/>
      <c r="C12" s="607" t="s">
        <v>218</v>
      </c>
      <c r="D12" s="39">
        <v>0</v>
      </c>
      <c r="E12" s="258"/>
      <c r="F12" s="303">
        <f t="shared" si="0"/>
        <v>0</v>
      </c>
      <c r="G12" s="304">
        <v>0</v>
      </c>
      <c r="H12" s="304">
        <v>0</v>
      </c>
      <c r="I12" s="304">
        <v>0</v>
      </c>
      <c r="J12" s="304">
        <v>0</v>
      </c>
      <c r="K12" s="304">
        <v>0</v>
      </c>
      <c r="L12" s="304">
        <v>0</v>
      </c>
      <c r="M12" s="305">
        <v>0</v>
      </c>
      <c r="N12" s="318"/>
    </row>
    <row r="13" spans="1:14">
      <c r="A13" s="622" t="s">
        <v>219</v>
      </c>
      <c r="B13" s="601"/>
      <c r="C13" s="621"/>
      <c r="D13" s="41">
        <f>SUM(D7:D12)</f>
        <v>1</v>
      </c>
      <c r="E13" s="42">
        <f>SUM(E7:E12)</f>
        <v>0</v>
      </c>
      <c r="F13" s="43">
        <f t="shared" ref="F13:M13" si="1">SUM(F7:F12)</f>
        <v>180</v>
      </c>
      <c r="G13" s="43">
        <f t="shared" si="1"/>
        <v>0</v>
      </c>
      <c r="H13" s="43">
        <f t="shared" si="1"/>
        <v>0</v>
      </c>
      <c r="I13" s="43">
        <f t="shared" si="1"/>
        <v>0</v>
      </c>
      <c r="J13" s="43">
        <f t="shared" si="1"/>
        <v>180</v>
      </c>
      <c r="K13" s="43">
        <f t="shared" si="1"/>
        <v>0</v>
      </c>
      <c r="L13" s="43">
        <f t="shared" si="1"/>
        <v>0</v>
      </c>
      <c r="M13" s="43">
        <f t="shared" si="1"/>
        <v>0</v>
      </c>
      <c r="N13" s="318"/>
    </row>
    <row r="14" spans="1:14">
      <c r="A14" s="125" t="s">
        <v>220</v>
      </c>
      <c r="B14" s="126"/>
      <c r="C14" s="127"/>
      <c r="D14" s="126"/>
      <c r="E14" s="126"/>
      <c r="F14" s="87"/>
      <c r="G14" s="87"/>
      <c r="H14" s="87"/>
      <c r="I14" s="87"/>
      <c r="J14" s="87"/>
      <c r="K14" s="87"/>
      <c r="L14" s="87"/>
      <c r="M14" s="87"/>
      <c r="N14" s="128"/>
    </row>
    <row r="15" spans="1:14">
      <c r="A15" s="530" t="s">
        <v>224</v>
      </c>
      <c r="B15" s="530"/>
      <c r="C15" s="597">
        <v>252</v>
      </c>
      <c r="D15" s="45"/>
      <c r="E15" s="258"/>
      <c r="F15" s="303">
        <f t="shared" ref="F15:F18" si="2">SUM(G15:M15)</f>
        <v>0</v>
      </c>
      <c r="G15" s="304">
        <v>0</v>
      </c>
      <c r="H15" s="304">
        <v>0</v>
      </c>
      <c r="I15" s="304">
        <v>0</v>
      </c>
      <c r="J15" s="304">
        <v>0</v>
      </c>
      <c r="K15" s="304">
        <v>0</v>
      </c>
      <c r="L15" s="304">
        <v>0</v>
      </c>
      <c r="M15" s="305">
        <v>0</v>
      </c>
      <c r="N15" s="318"/>
    </row>
    <row r="16" spans="1:14">
      <c r="A16" s="530" t="s">
        <v>224</v>
      </c>
      <c r="B16" s="530"/>
      <c r="C16" s="597">
        <v>253</v>
      </c>
      <c r="D16" s="45"/>
      <c r="E16" s="258"/>
      <c r="F16" s="303">
        <f t="shared" si="2"/>
        <v>0</v>
      </c>
      <c r="G16" s="304">
        <v>0</v>
      </c>
      <c r="H16" s="304">
        <v>0</v>
      </c>
      <c r="I16" s="304">
        <v>0</v>
      </c>
      <c r="J16" s="304">
        <v>0</v>
      </c>
      <c r="K16" s="304">
        <v>0</v>
      </c>
      <c r="L16" s="304">
        <v>0</v>
      </c>
      <c r="M16" s="305">
        <v>0</v>
      </c>
      <c r="N16" s="318"/>
    </row>
    <row r="17" spans="1:14">
      <c r="A17" s="530" t="s">
        <v>296</v>
      </c>
      <c r="B17" s="530"/>
      <c r="C17" s="597">
        <v>253</v>
      </c>
      <c r="D17" s="45"/>
      <c r="E17" s="258"/>
      <c r="F17" s="303">
        <f t="shared" si="2"/>
        <v>0</v>
      </c>
      <c r="G17" s="304">
        <v>0</v>
      </c>
      <c r="H17" s="155"/>
      <c r="I17" s="304">
        <v>0</v>
      </c>
      <c r="J17" s="304">
        <v>0</v>
      </c>
      <c r="K17" s="304">
        <v>0</v>
      </c>
      <c r="L17" s="304">
        <v>0</v>
      </c>
      <c r="M17" s="305">
        <v>0</v>
      </c>
      <c r="N17" s="318"/>
    </row>
    <row r="18" spans="1:14">
      <c r="A18" s="530" t="s">
        <v>224</v>
      </c>
      <c r="B18" s="530"/>
      <c r="C18" s="597">
        <v>253</v>
      </c>
      <c r="D18" s="45"/>
      <c r="E18" s="258"/>
      <c r="F18" s="303">
        <f t="shared" si="2"/>
        <v>0</v>
      </c>
      <c r="G18" s="304">
        <v>0</v>
      </c>
      <c r="H18" s="304">
        <v>0</v>
      </c>
      <c r="I18" s="304">
        <v>0</v>
      </c>
      <c r="J18" s="304">
        <v>0</v>
      </c>
      <c r="K18" s="304">
        <v>0</v>
      </c>
      <c r="L18" s="304">
        <v>0</v>
      </c>
      <c r="M18" s="305">
        <v>0</v>
      </c>
      <c r="N18" s="318"/>
    </row>
    <row r="19" spans="1:14">
      <c r="A19" s="622" t="s">
        <v>225</v>
      </c>
      <c r="B19" s="601"/>
      <c r="C19" s="621"/>
      <c r="D19" s="262">
        <f>SUM(D16:D18)</f>
        <v>0</v>
      </c>
      <c r="E19" s="42">
        <f>SUM(E15:E18)</f>
        <v>0</v>
      </c>
      <c r="F19" s="43">
        <f>SUM(F15:F18)</f>
        <v>0</v>
      </c>
      <c r="G19" s="43">
        <f t="shared" ref="G19:M19" si="3">SUM(G15:G18)</f>
        <v>0</v>
      </c>
      <c r="H19" s="43">
        <f t="shared" si="3"/>
        <v>0</v>
      </c>
      <c r="I19" s="43">
        <f t="shared" si="3"/>
        <v>0</v>
      </c>
      <c r="J19" s="43">
        <f t="shared" si="3"/>
        <v>0</v>
      </c>
      <c r="K19" s="43">
        <f t="shared" si="3"/>
        <v>0</v>
      </c>
      <c r="L19" s="43">
        <f t="shared" si="3"/>
        <v>0</v>
      </c>
      <c r="M19" s="43">
        <f t="shared" si="3"/>
        <v>0</v>
      </c>
      <c r="N19" s="318"/>
    </row>
    <row r="20" spans="1:14">
      <c r="A20" s="125" t="s">
        <v>279</v>
      </c>
      <c r="B20" s="126"/>
      <c r="C20" s="127"/>
      <c r="D20" s="126"/>
      <c r="E20" s="126"/>
      <c r="F20" s="87"/>
      <c r="G20" s="87"/>
      <c r="H20" s="87"/>
      <c r="I20" s="87"/>
      <c r="J20" s="87"/>
      <c r="K20" s="87"/>
      <c r="L20" s="87"/>
      <c r="M20" s="87"/>
      <c r="N20" s="128"/>
    </row>
    <row r="21" spans="1:14">
      <c r="A21" s="530" t="s">
        <v>227</v>
      </c>
      <c r="B21" s="57"/>
      <c r="C21" s="607" t="s">
        <v>228</v>
      </c>
      <c r="D21" s="38">
        <v>0</v>
      </c>
      <c r="E21" s="258"/>
      <c r="F21" s="303">
        <f t="shared" ref="F21:F31" si="4">SUM(G21:M21)</f>
        <v>250</v>
      </c>
      <c r="G21" s="304">
        <v>0</v>
      </c>
      <c r="H21" s="304">
        <v>0</v>
      </c>
      <c r="I21" s="304">
        <v>0</v>
      </c>
      <c r="J21" s="304">
        <f>120+120+2.5+2.5+2.5+2.5</f>
        <v>250</v>
      </c>
      <c r="K21" s="304">
        <v>0</v>
      </c>
      <c r="L21" s="304">
        <v>0</v>
      </c>
      <c r="M21" s="305">
        <v>0</v>
      </c>
      <c r="N21" s="318" t="s">
        <v>1556</v>
      </c>
    </row>
    <row r="22" spans="1:14">
      <c r="A22" s="530" t="s">
        <v>229</v>
      </c>
      <c r="B22" s="57"/>
      <c r="C22" s="597" t="s">
        <v>230</v>
      </c>
      <c r="D22" s="45"/>
      <c r="E22" s="258"/>
      <c r="F22" s="303">
        <f t="shared" si="4"/>
        <v>0</v>
      </c>
      <c r="G22" s="304">
        <v>0</v>
      </c>
      <c r="H22" s="304">
        <v>0</v>
      </c>
      <c r="I22" s="304">
        <v>0</v>
      </c>
      <c r="J22" s="304">
        <v>0</v>
      </c>
      <c r="K22" s="304">
        <v>0</v>
      </c>
      <c r="L22" s="304">
        <v>0</v>
      </c>
      <c r="M22" s="305">
        <v>0</v>
      </c>
      <c r="N22" s="318"/>
    </row>
    <row r="23" spans="1:14">
      <c r="A23" s="530" t="s">
        <v>231</v>
      </c>
      <c r="B23" s="57"/>
      <c r="C23" s="597" t="s">
        <v>232</v>
      </c>
      <c r="D23" s="45"/>
      <c r="E23" s="258"/>
      <c r="F23" s="303">
        <f t="shared" si="4"/>
        <v>0</v>
      </c>
      <c r="G23" s="304">
        <v>0</v>
      </c>
      <c r="H23" s="304">
        <v>0</v>
      </c>
      <c r="I23" s="304">
        <v>0</v>
      </c>
      <c r="J23" s="304">
        <v>0</v>
      </c>
      <c r="K23" s="304">
        <v>0</v>
      </c>
      <c r="L23" s="304">
        <v>0</v>
      </c>
      <c r="M23" s="305">
        <v>0</v>
      </c>
      <c r="N23" s="318"/>
    </row>
    <row r="24" spans="1:14" ht="15" customHeight="1">
      <c r="A24" s="530" t="s">
        <v>233</v>
      </c>
      <c r="B24" s="57"/>
      <c r="C24" s="597" t="s">
        <v>234</v>
      </c>
      <c r="D24" s="45"/>
      <c r="E24" s="258"/>
      <c r="F24" s="303">
        <f t="shared" si="4"/>
        <v>0</v>
      </c>
      <c r="G24" s="304">
        <v>0</v>
      </c>
      <c r="H24" s="304">
        <v>0</v>
      </c>
      <c r="I24" s="304">
        <v>0</v>
      </c>
      <c r="J24" s="304">
        <v>0</v>
      </c>
      <c r="K24" s="304">
        <v>0</v>
      </c>
      <c r="L24" s="304">
        <v>0</v>
      </c>
      <c r="M24" s="305">
        <v>0</v>
      </c>
      <c r="N24" s="318"/>
    </row>
    <row r="25" spans="1:14">
      <c r="A25" s="530" t="s">
        <v>235</v>
      </c>
      <c r="B25" s="57"/>
      <c r="C25" s="597">
        <v>251</v>
      </c>
      <c r="D25" s="45"/>
      <c r="E25" s="258"/>
      <c r="F25" s="303">
        <f t="shared" si="4"/>
        <v>0</v>
      </c>
      <c r="G25" s="304">
        <v>0</v>
      </c>
      <c r="H25" s="304">
        <v>0</v>
      </c>
      <c r="I25" s="304">
        <v>0</v>
      </c>
      <c r="J25" s="304">
        <v>0</v>
      </c>
      <c r="K25" s="304">
        <v>0</v>
      </c>
      <c r="L25" s="304">
        <v>0</v>
      </c>
      <c r="M25" s="305">
        <v>0</v>
      </c>
      <c r="N25" s="318"/>
    </row>
    <row r="26" spans="1:14">
      <c r="A26" s="530" t="s">
        <v>527</v>
      </c>
      <c r="B26" s="57"/>
      <c r="C26" s="597">
        <v>252</v>
      </c>
      <c r="D26" s="45"/>
      <c r="E26" s="258"/>
      <c r="F26" s="303">
        <f t="shared" si="4"/>
        <v>0</v>
      </c>
      <c r="G26" s="304">
        <v>0</v>
      </c>
      <c r="H26" s="304">
        <v>0</v>
      </c>
      <c r="I26" s="304">
        <v>0</v>
      </c>
      <c r="J26" s="304">
        <v>0</v>
      </c>
      <c r="K26" s="304">
        <v>0</v>
      </c>
      <c r="L26" s="304">
        <f>SUM(150-150)</f>
        <v>0</v>
      </c>
      <c r="M26" s="305">
        <v>0</v>
      </c>
      <c r="N26" s="318"/>
    </row>
    <row r="27" spans="1:14">
      <c r="A27" s="530" t="s">
        <v>243</v>
      </c>
      <c r="B27" s="57"/>
      <c r="C27" s="597">
        <v>252</v>
      </c>
      <c r="D27" s="45"/>
      <c r="E27" s="258"/>
      <c r="F27" s="303">
        <f t="shared" si="4"/>
        <v>0</v>
      </c>
      <c r="G27" s="304">
        <v>0</v>
      </c>
      <c r="H27" s="304">
        <v>0</v>
      </c>
      <c r="I27" s="304">
        <v>0</v>
      </c>
      <c r="J27" s="304">
        <v>0</v>
      </c>
      <c r="K27" s="304">
        <v>0</v>
      </c>
      <c r="L27" s="304">
        <v>0</v>
      </c>
      <c r="M27" s="305">
        <v>0</v>
      </c>
      <c r="N27" s="318"/>
    </row>
    <row r="28" spans="1:14">
      <c r="A28" s="530" t="s">
        <v>246</v>
      </c>
      <c r="B28" s="57"/>
      <c r="C28" s="597">
        <v>256</v>
      </c>
      <c r="D28" s="530"/>
      <c r="E28" s="258"/>
      <c r="F28" s="303">
        <f t="shared" si="4"/>
        <v>0</v>
      </c>
      <c r="G28" s="304">
        <v>0</v>
      </c>
      <c r="H28" s="304">
        <v>0</v>
      </c>
      <c r="I28" s="304">
        <v>0</v>
      </c>
      <c r="J28" s="304">
        <v>0</v>
      </c>
      <c r="K28" s="304">
        <v>0</v>
      </c>
      <c r="L28" s="304">
        <v>0</v>
      </c>
      <c r="M28" s="305">
        <v>0</v>
      </c>
      <c r="N28" s="318"/>
    </row>
    <row r="29" spans="1:14">
      <c r="A29" s="530" t="s">
        <v>247</v>
      </c>
      <c r="B29" s="57"/>
      <c r="C29" s="597">
        <v>257</v>
      </c>
      <c r="D29" s="530"/>
      <c r="E29" s="258"/>
      <c r="F29" s="303">
        <f t="shared" si="4"/>
        <v>0</v>
      </c>
      <c r="G29" s="304">
        <v>0</v>
      </c>
      <c r="H29" s="304">
        <v>0</v>
      </c>
      <c r="I29" s="304">
        <v>0</v>
      </c>
      <c r="J29" s="304">
        <v>0</v>
      </c>
      <c r="K29" s="304">
        <v>0</v>
      </c>
      <c r="L29" s="304">
        <v>0</v>
      </c>
      <c r="M29" s="305">
        <v>0</v>
      </c>
      <c r="N29" s="318"/>
    </row>
    <row r="30" spans="1:14">
      <c r="A30" s="530" t="s">
        <v>248</v>
      </c>
      <c r="B30" s="57"/>
      <c r="C30" s="597" t="s">
        <v>249</v>
      </c>
      <c r="D30" s="530"/>
      <c r="E30" s="258"/>
      <c r="F30" s="303">
        <f t="shared" si="4"/>
        <v>3</v>
      </c>
      <c r="G30" s="304">
        <v>0</v>
      </c>
      <c r="H30" s="304">
        <v>0</v>
      </c>
      <c r="I30" s="304">
        <v>0</v>
      </c>
      <c r="J30" s="304">
        <f>1.5+1.5</f>
        <v>3</v>
      </c>
      <c r="K30" s="304">
        <v>0</v>
      </c>
      <c r="L30" s="304">
        <v>0</v>
      </c>
      <c r="M30" s="305">
        <v>0</v>
      </c>
      <c r="N30" s="318" t="s">
        <v>1553</v>
      </c>
    </row>
    <row r="31" spans="1:14" ht="29">
      <c r="A31" s="601" t="s">
        <v>250</v>
      </c>
      <c r="B31" s="57"/>
      <c r="C31" s="621" t="s">
        <v>251</v>
      </c>
      <c r="D31" s="601"/>
      <c r="E31" s="258"/>
      <c r="F31" s="303">
        <f t="shared" si="4"/>
        <v>10</v>
      </c>
      <c r="G31" s="304">
        <v>0</v>
      </c>
      <c r="H31" s="304">
        <v>0</v>
      </c>
      <c r="I31" s="304">
        <v>0</v>
      </c>
      <c r="J31" s="304">
        <f>5+5</f>
        <v>10</v>
      </c>
      <c r="K31" s="304">
        <v>0</v>
      </c>
      <c r="L31" s="304">
        <v>0</v>
      </c>
      <c r="M31" s="305">
        <v>0</v>
      </c>
      <c r="N31" s="318" t="s">
        <v>1554</v>
      </c>
    </row>
    <row r="32" spans="1:14">
      <c r="A32" s="622" t="s">
        <v>254</v>
      </c>
      <c r="B32" s="601"/>
      <c r="C32" s="621"/>
      <c r="D32" s="262"/>
      <c r="E32" s="42">
        <f t="shared" ref="E32:M32" si="5">SUM(E21:E31)</f>
        <v>0</v>
      </c>
      <c r="F32" s="43">
        <f t="shared" si="5"/>
        <v>263</v>
      </c>
      <c r="G32" s="43">
        <f t="shared" si="5"/>
        <v>0</v>
      </c>
      <c r="H32" s="43">
        <f t="shared" si="5"/>
        <v>0</v>
      </c>
      <c r="I32" s="43">
        <f t="shared" si="5"/>
        <v>0</v>
      </c>
      <c r="J32" s="43">
        <f t="shared" si="5"/>
        <v>263</v>
      </c>
      <c r="K32" s="43">
        <f t="shared" si="5"/>
        <v>0</v>
      </c>
      <c r="L32" s="43">
        <f t="shared" si="5"/>
        <v>0</v>
      </c>
      <c r="M32" s="43">
        <f t="shared" si="5"/>
        <v>0</v>
      </c>
      <c r="N32" s="318"/>
    </row>
    <row r="33" spans="1:14">
      <c r="A33" s="622" t="s">
        <v>255</v>
      </c>
      <c r="B33" s="629"/>
      <c r="C33" s="630"/>
      <c r="D33" s="262"/>
      <c r="E33" s="42"/>
      <c r="F33" s="235"/>
      <c r="G33" s="235"/>
      <c r="H33" s="235"/>
      <c r="I33" s="235"/>
      <c r="J33" s="235"/>
      <c r="K33" s="235"/>
      <c r="L33" s="235"/>
      <c r="M33" s="43"/>
      <c r="N33" s="318"/>
    </row>
    <row r="34" spans="1:14">
      <c r="A34" s="622" t="s">
        <v>256</v>
      </c>
      <c r="B34" s="631"/>
      <c r="C34" s="632"/>
      <c r="D34" s="48">
        <f>D32+D19+D13+D33</f>
        <v>1</v>
      </c>
      <c r="E34" s="42">
        <f t="shared" ref="E34:M34" si="6">E32+E19+E13-E33</f>
        <v>0</v>
      </c>
      <c r="F34" s="17">
        <f t="shared" si="6"/>
        <v>443</v>
      </c>
      <c r="G34" s="17">
        <f t="shared" si="6"/>
        <v>0</v>
      </c>
      <c r="H34" s="17">
        <f t="shared" si="6"/>
        <v>0</v>
      </c>
      <c r="I34" s="17">
        <f t="shared" si="6"/>
        <v>0</v>
      </c>
      <c r="J34" s="17">
        <f t="shared" si="6"/>
        <v>443</v>
      </c>
      <c r="K34" s="17">
        <f t="shared" si="6"/>
        <v>0</v>
      </c>
      <c r="L34" s="17">
        <f t="shared" si="6"/>
        <v>0</v>
      </c>
      <c r="M34" s="17">
        <f t="shared" si="6"/>
        <v>0</v>
      </c>
      <c r="N34" s="345"/>
    </row>
    <row r="35" spans="1:14">
      <c r="A35" s="31"/>
      <c r="B35" s="31"/>
      <c r="C35" s="32"/>
      <c r="D35" s="31"/>
      <c r="E35" s="31"/>
      <c r="F35" s="31"/>
      <c r="G35" s="31"/>
      <c r="H35" s="31"/>
      <c r="I35" s="31"/>
      <c r="J35" s="31"/>
      <c r="K35" s="31"/>
      <c r="L35" s="31"/>
      <c r="M35" s="31"/>
      <c r="N35" s="536"/>
    </row>
    <row r="36" spans="1:14">
      <c r="A36" s="31"/>
      <c r="B36" s="31"/>
      <c r="C36" s="32"/>
      <c r="D36" s="31"/>
      <c r="E36" s="31"/>
      <c r="F36" s="31"/>
      <c r="G36" s="31"/>
      <c r="H36" s="31"/>
      <c r="I36" s="31"/>
      <c r="J36" s="31"/>
      <c r="K36" s="31"/>
      <c r="L36" s="31"/>
      <c r="M36" s="31"/>
      <c r="N36" s="536"/>
    </row>
    <row r="37" spans="1:14" ht="15" thickBot="1">
      <c r="A37" s="31"/>
      <c r="B37" s="31"/>
      <c r="C37" s="32"/>
      <c r="D37" s="31"/>
      <c r="E37" s="31"/>
      <c r="F37" s="31"/>
      <c r="G37" s="31"/>
      <c r="H37" s="31"/>
      <c r="I37" s="31"/>
      <c r="J37" s="31"/>
      <c r="K37" s="31"/>
      <c r="L37" s="31"/>
      <c r="M37" s="31"/>
      <c r="N37" s="536"/>
    </row>
    <row r="38" spans="1:14" ht="15.5">
      <c r="A38" s="873" t="s">
        <v>257</v>
      </c>
      <c r="B38" s="874"/>
      <c r="C38" s="874"/>
      <c r="D38" s="874"/>
      <c r="E38" s="874"/>
      <c r="F38" s="874"/>
      <c r="G38" s="550"/>
      <c r="H38" s="31"/>
      <c r="I38" s="31"/>
      <c r="J38" s="31"/>
      <c r="K38" s="31"/>
      <c r="L38" s="31"/>
      <c r="M38" s="31"/>
      <c r="N38" s="536"/>
    </row>
    <row r="39" spans="1:14" ht="15.5">
      <c r="A39" s="875"/>
      <c r="B39" s="876"/>
      <c r="C39" s="876"/>
      <c r="D39" s="876"/>
      <c r="E39" s="876"/>
      <c r="F39" s="876"/>
      <c r="G39" s="551"/>
      <c r="H39" s="31"/>
      <c r="I39" s="31"/>
      <c r="J39" s="31"/>
      <c r="K39" s="31"/>
      <c r="L39" s="31"/>
      <c r="M39" s="31"/>
      <c r="N39" s="536"/>
    </row>
    <row r="40" spans="1:14">
      <c r="A40" s="877" t="s">
        <v>258</v>
      </c>
      <c r="B40" s="878"/>
      <c r="C40" s="552"/>
      <c r="D40" s="552"/>
      <c r="E40" s="552"/>
      <c r="F40" s="552"/>
      <c r="G40" s="551"/>
      <c r="H40" s="31"/>
      <c r="I40" s="31"/>
      <c r="J40" s="31"/>
      <c r="K40" s="31"/>
      <c r="L40" s="31"/>
      <c r="M40" s="31"/>
      <c r="N40" s="536"/>
    </row>
    <row r="41" spans="1:14">
      <c r="A41" s="553" t="s">
        <v>1028</v>
      </c>
      <c r="B41" s="554">
        <f>E34</f>
        <v>0</v>
      </c>
      <c r="C41" s="555"/>
      <c r="D41" s="556"/>
      <c r="E41" s="556"/>
      <c r="F41" s="556"/>
      <c r="G41" s="551"/>
      <c r="H41" s="31"/>
      <c r="I41" s="31"/>
      <c r="J41" s="31"/>
      <c r="K41" s="31"/>
      <c r="L41" s="31"/>
      <c r="M41" s="31"/>
      <c r="N41" s="536"/>
    </row>
    <row r="42" spans="1:14">
      <c r="A42" s="557" t="s">
        <v>1029</v>
      </c>
      <c r="B42" s="558">
        <f>F34</f>
        <v>443</v>
      </c>
      <c r="C42" s="555"/>
      <c r="D42" s="556"/>
      <c r="E42" s="556"/>
      <c r="F42" s="556"/>
      <c r="G42" s="551"/>
      <c r="H42" s="31"/>
      <c r="I42" s="31"/>
      <c r="J42" s="31"/>
      <c r="K42" s="31"/>
      <c r="L42" s="31"/>
      <c r="M42" s="31"/>
      <c r="N42" s="536"/>
    </row>
    <row r="43" spans="1:14">
      <c r="A43" s="559" t="s">
        <v>259</v>
      </c>
      <c r="B43" s="560">
        <f>B42-B41</f>
        <v>443</v>
      </c>
      <c r="C43" s="555"/>
      <c r="D43" s="556"/>
      <c r="E43" s="556"/>
      <c r="F43" s="556"/>
      <c r="G43" s="551"/>
      <c r="H43" s="31"/>
      <c r="I43" s="31"/>
      <c r="J43" s="31"/>
      <c r="K43" s="31"/>
      <c r="L43" s="31"/>
      <c r="M43" s="31"/>
      <c r="N43" s="536"/>
    </row>
    <row r="44" spans="1:14">
      <c r="A44" s="559" t="s">
        <v>260</v>
      </c>
      <c r="B44" s="561" t="e">
        <f>B43/B41</f>
        <v>#DIV/0!</v>
      </c>
      <c r="C44" s="555"/>
      <c r="D44" s="556"/>
      <c r="E44" s="556"/>
      <c r="F44" s="556"/>
      <c r="G44" s="551"/>
      <c r="H44" s="31"/>
      <c r="I44" s="31"/>
      <c r="J44" s="31"/>
      <c r="K44" s="31"/>
      <c r="L44" s="31"/>
      <c r="M44" s="31"/>
      <c r="N44" s="536"/>
    </row>
    <row r="45" spans="1:14">
      <c r="A45" s="562"/>
      <c r="B45" s="556"/>
      <c r="C45" s="832"/>
      <c r="D45" s="556"/>
      <c r="E45" s="556"/>
      <c r="F45" s="556"/>
      <c r="G45" s="551"/>
      <c r="H45" s="31"/>
      <c r="I45" s="31"/>
      <c r="J45" s="31"/>
      <c r="K45" s="31"/>
      <c r="L45" s="31"/>
      <c r="M45" s="31"/>
      <c r="N45" s="536"/>
    </row>
    <row r="46" spans="1:14">
      <c r="A46" s="879" t="s">
        <v>261</v>
      </c>
      <c r="B46" s="880"/>
      <c r="C46" s="880"/>
      <c r="D46" s="880"/>
      <c r="E46" s="880"/>
      <c r="F46" s="880"/>
      <c r="G46" s="551"/>
      <c r="H46" s="31"/>
      <c r="I46" s="31"/>
      <c r="J46" s="31"/>
      <c r="K46" s="31"/>
      <c r="L46" s="31"/>
      <c r="M46" s="31"/>
      <c r="N46" s="536"/>
    </row>
    <row r="47" spans="1:14" ht="55.5" customHeight="1">
      <c r="A47" s="881"/>
      <c r="B47" s="882"/>
      <c r="C47" s="882"/>
      <c r="D47" s="882"/>
      <c r="E47" s="882"/>
      <c r="F47" s="883"/>
      <c r="G47" s="551"/>
      <c r="H47" s="31"/>
      <c r="I47" s="31"/>
      <c r="J47" s="31"/>
      <c r="K47" s="31"/>
      <c r="L47" s="31"/>
      <c r="M47" s="31"/>
      <c r="N47" s="536"/>
    </row>
    <row r="48" spans="1:14">
      <c r="A48" s="563"/>
      <c r="B48" s="564"/>
      <c r="C48" s="564"/>
      <c r="D48" s="564"/>
      <c r="E48" s="564"/>
      <c r="F48" s="564"/>
      <c r="G48" s="551"/>
      <c r="H48" s="31"/>
      <c r="I48" s="31"/>
      <c r="J48" s="31"/>
      <c r="K48" s="31"/>
      <c r="L48" s="31"/>
      <c r="M48" s="31"/>
      <c r="N48" s="536"/>
    </row>
    <row r="49" spans="1:14">
      <c r="A49" s="565" t="s">
        <v>262</v>
      </c>
      <c r="B49" s="556"/>
      <c r="C49" s="832"/>
      <c r="D49" s="556"/>
      <c r="E49" s="556"/>
      <c r="F49" s="556"/>
      <c r="G49" s="551"/>
      <c r="H49" s="31"/>
      <c r="I49" s="31"/>
      <c r="J49" s="31"/>
      <c r="K49" s="31"/>
      <c r="L49" s="31"/>
      <c r="M49" s="31"/>
      <c r="N49" s="536"/>
    </row>
    <row r="50" spans="1:14" ht="118.75" customHeight="1">
      <c r="A50" s="884"/>
      <c r="B50" s="885"/>
      <c r="C50" s="885"/>
      <c r="D50" s="885"/>
      <c r="E50" s="885"/>
      <c r="F50" s="886"/>
      <c r="G50" s="551"/>
      <c r="H50" s="31"/>
      <c r="I50" s="31"/>
      <c r="J50" s="31"/>
      <c r="K50" s="31"/>
      <c r="L50" s="31"/>
      <c r="M50" s="31"/>
      <c r="N50" s="536"/>
    </row>
    <row r="51" spans="1:14">
      <c r="A51" s="562"/>
      <c r="B51" s="556"/>
      <c r="C51" s="832"/>
      <c r="D51" s="556"/>
      <c r="E51" s="556"/>
      <c r="F51" s="556"/>
      <c r="G51" s="551"/>
      <c r="H51" s="31"/>
      <c r="I51" s="31"/>
      <c r="J51" s="31"/>
      <c r="K51" s="31"/>
      <c r="L51" s="31"/>
      <c r="M51" s="31"/>
      <c r="N51" s="536"/>
    </row>
    <row r="52" spans="1:14">
      <c r="A52" s="879" t="s">
        <v>1020</v>
      </c>
      <c r="B52" s="880"/>
      <c r="C52" s="880"/>
      <c r="D52" s="880"/>
      <c r="E52" s="880"/>
      <c r="F52" s="880"/>
      <c r="G52" s="551"/>
      <c r="H52" s="31"/>
      <c r="I52" s="31"/>
      <c r="J52" s="31"/>
      <c r="K52" s="31"/>
      <c r="L52" s="31"/>
      <c r="M52" s="31"/>
      <c r="N52" s="536"/>
    </row>
    <row r="53" spans="1:14" s="843" customFormat="1" ht="12">
      <c r="A53" s="906" t="s">
        <v>1021</v>
      </c>
      <c r="B53" s="907"/>
      <c r="C53" s="907"/>
      <c r="D53" s="907"/>
      <c r="E53" s="907"/>
      <c r="F53" s="907"/>
      <c r="G53" s="840"/>
      <c r="H53" s="841"/>
      <c r="I53" s="841"/>
      <c r="J53" s="841"/>
      <c r="K53" s="841"/>
      <c r="L53" s="841"/>
      <c r="M53" s="841"/>
      <c r="N53" s="842"/>
    </row>
    <row r="54" spans="1:14" ht="58.5" customHeight="1">
      <c r="A54" s="884"/>
      <c r="B54" s="885"/>
      <c r="C54" s="885"/>
      <c r="D54" s="885"/>
      <c r="E54" s="885"/>
      <c r="F54" s="886"/>
      <c r="G54" s="551"/>
      <c r="H54" s="31"/>
      <c r="I54" s="31"/>
      <c r="J54" s="31"/>
      <c r="K54" s="31"/>
      <c r="L54" s="31"/>
      <c r="M54" s="31"/>
      <c r="N54" s="536"/>
    </row>
    <row r="55" spans="1:14">
      <c r="A55" s="565"/>
      <c r="B55" s="556"/>
      <c r="C55" s="832"/>
      <c r="D55" s="556"/>
      <c r="E55" s="556"/>
      <c r="F55" s="556"/>
      <c r="G55" s="551"/>
      <c r="H55" s="31"/>
      <c r="I55" s="31"/>
      <c r="J55" s="31"/>
      <c r="K55" s="31"/>
      <c r="L55" s="31"/>
      <c r="M55" s="31"/>
      <c r="N55" s="536"/>
    </row>
    <row r="56" spans="1:14">
      <c r="A56" s="879" t="s">
        <v>264</v>
      </c>
      <c r="B56" s="880"/>
      <c r="C56" s="880"/>
      <c r="D56" s="880"/>
      <c r="E56" s="880"/>
      <c r="F56" s="556"/>
      <c r="G56" s="551"/>
      <c r="H56" s="31"/>
      <c r="I56" s="31"/>
      <c r="J56" s="31"/>
      <c r="K56" s="31"/>
      <c r="L56" s="31"/>
      <c r="M56" s="31"/>
      <c r="N56" s="536"/>
    </row>
    <row r="57" spans="1:14" ht="30.25" customHeight="1">
      <c r="A57" s="889"/>
      <c r="B57" s="890"/>
      <c r="C57" s="890"/>
      <c r="D57" s="890"/>
      <c r="E57" s="890"/>
      <c r="F57" s="891"/>
      <c r="G57" s="551"/>
      <c r="H57" s="31"/>
      <c r="I57" s="31"/>
      <c r="J57" s="31"/>
      <c r="K57" s="31"/>
      <c r="L57" s="31"/>
      <c r="M57" s="31"/>
      <c r="N57" s="536"/>
    </row>
    <row r="58" spans="1:14">
      <c r="A58" s="562"/>
      <c r="B58" s="556"/>
      <c r="C58" s="832"/>
      <c r="D58" s="556"/>
      <c r="E58" s="556"/>
      <c r="F58" s="556"/>
      <c r="G58" s="551"/>
      <c r="H58" s="31"/>
      <c r="I58" s="31"/>
      <c r="J58" s="31"/>
      <c r="K58" s="31"/>
      <c r="L58" s="31"/>
      <c r="M58" s="31"/>
      <c r="N58" s="536"/>
    </row>
    <row r="59" spans="1:14">
      <c r="A59" s="565" t="s">
        <v>265</v>
      </c>
      <c r="B59" s="556"/>
      <c r="C59" s="832"/>
      <c r="D59" s="556"/>
      <c r="E59" s="556"/>
      <c r="F59" s="556"/>
      <c r="G59" s="551"/>
      <c r="H59" s="31"/>
      <c r="I59" s="31"/>
      <c r="J59" s="31"/>
      <c r="K59" s="31"/>
      <c r="L59" s="31"/>
      <c r="M59" s="31"/>
      <c r="N59" s="536"/>
    </row>
    <row r="60" spans="1:14">
      <c r="A60" s="566" t="s">
        <v>266</v>
      </c>
      <c r="B60" s="556"/>
      <c r="C60" s="832"/>
      <c r="D60" s="556"/>
      <c r="E60" s="556"/>
      <c r="F60" s="556"/>
      <c r="G60" s="551"/>
      <c r="H60" s="31"/>
      <c r="I60" s="31"/>
      <c r="J60" s="31"/>
      <c r="K60" s="31"/>
      <c r="L60" s="31"/>
      <c r="M60" s="31"/>
      <c r="N60" s="536"/>
    </row>
    <row r="61" spans="1:14" ht="26.25" customHeight="1">
      <c r="A61" s="892" t="s">
        <v>1030</v>
      </c>
      <c r="B61" s="893"/>
      <c r="C61" s="893"/>
      <c r="D61" s="893"/>
      <c r="E61" s="893"/>
      <c r="F61" s="893"/>
      <c r="G61" s="551"/>
      <c r="H61" s="31"/>
      <c r="I61" s="31"/>
      <c r="J61" s="31"/>
      <c r="K61" s="31"/>
      <c r="L61" s="31"/>
      <c r="M61" s="31"/>
      <c r="N61" s="536"/>
    </row>
    <row r="62" spans="1:14" ht="26.25" customHeight="1">
      <c r="A62" s="903"/>
      <c r="B62" s="904"/>
      <c r="C62" s="904"/>
      <c r="D62" s="904"/>
      <c r="E62" s="904"/>
      <c r="F62" s="905"/>
      <c r="G62" s="551"/>
      <c r="H62" s="31"/>
      <c r="I62" s="31"/>
      <c r="J62" s="31"/>
      <c r="K62" s="31"/>
      <c r="L62" s="31"/>
      <c r="M62" s="31"/>
      <c r="N62" s="536"/>
    </row>
    <row r="63" spans="1:14">
      <c r="A63" s="894"/>
      <c r="B63" s="895"/>
      <c r="C63" s="895"/>
      <c r="D63" s="895"/>
      <c r="E63" s="895"/>
      <c r="F63" s="895"/>
      <c r="G63" s="551"/>
      <c r="H63" s="31"/>
      <c r="I63" s="31"/>
      <c r="J63" s="31"/>
      <c r="K63" s="31"/>
      <c r="L63" s="31"/>
      <c r="M63" s="31"/>
      <c r="N63" s="536"/>
    </row>
    <row r="64" spans="1:14">
      <c r="A64" s="566" t="s">
        <v>1034</v>
      </c>
      <c r="B64" s="556"/>
      <c r="C64" s="832"/>
      <c r="D64" s="556"/>
      <c r="E64" s="556"/>
      <c r="F64" s="556"/>
      <c r="G64" s="551"/>
      <c r="H64" s="31"/>
      <c r="I64" s="31"/>
      <c r="J64" s="31"/>
      <c r="K64" s="31"/>
      <c r="L64" s="31"/>
      <c r="M64" s="31"/>
      <c r="N64" s="536"/>
    </row>
    <row r="65" spans="1:14" ht="28.75" customHeight="1">
      <c r="A65" s="896" t="s">
        <v>269</v>
      </c>
      <c r="B65" s="897"/>
      <c r="C65" s="897"/>
      <c r="D65" s="897"/>
      <c r="E65" s="897"/>
      <c r="F65" s="897"/>
      <c r="G65" s="551"/>
      <c r="H65" s="31"/>
      <c r="I65" s="31"/>
      <c r="J65" s="31"/>
      <c r="K65" s="31"/>
      <c r="L65" s="31"/>
      <c r="M65" s="31"/>
      <c r="N65" s="536"/>
    </row>
    <row r="66" spans="1:14" ht="30.75" customHeight="1">
      <c r="A66" s="889"/>
      <c r="B66" s="890"/>
      <c r="C66" s="890"/>
      <c r="D66" s="890"/>
      <c r="E66" s="890"/>
      <c r="F66" s="891"/>
      <c r="G66" s="551"/>
      <c r="H66" s="31"/>
      <c r="I66" s="31"/>
      <c r="J66" s="31"/>
      <c r="K66" s="31"/>
      <c r="L66" s="31"/>
      <c r="M66" s="31"/>
      <c r="N66" s="536"/>
    </row>
    <row r="67" spans="1:14" ht="15" thickBot="1">
      <c r="A67" s="567"/>
      <c r="B67" s="568"/>
      <c r="C67" s="569"/>
      <c r="D67" s="568"/>
      <c r="E67" s="568"/>
      <c r="F67" s="568"/>
      <c r="G67" s="570"/>
      <c r="H67" s="31"/>
      <c r="I67" s="31"/>
      <c r="J67" s="31"/>
      <c r="K67" s="31"/>
      <c r="L67" s="31"/>
      <c r="M67" s="31"/>
      <c r="N67" s="536"/>
    </row>
    <row r="68" spans="1:14">
      <c r="A68" s="31"/>
      <c r="B68" s="31"/>
      <c r="C68" s="32"/>
      <c r="D68" s="31"/>
      <c r="E68" s="31"/>
      <c r="F68" s="31"/>
      <c r="G68" s="31"/>
      <c r="H68" s="31"/>
      <c r="I68" s="31"/>
      <c r="J68" s="31"/>
      <c r="K68" s="31"/>
      <c r="L68" s="31"/>
      <c r="M68" s="31"/>
      <c r="N68" s="536"/>
    </row>
    <row r="69" spans="1:14">
      <c r="A69" s="31"/>
      <c r="B69" s="31"/>
      <c r="C69" s="32"/>
      <c r="D69" s="31"/>
      <c r="E69" s="31"/>
      <c r="F69" s="31"/>
      <c r="G69" s="31"/>
      <c r="H69" s="31"/>
      <c r="I69" s="31"/>
      <c r="J69" s="31"/>
      <c r="K69" s="31"/>
      <c r="L69" s="31"/>
      <c r="M69" s="31"/>
      <c r="N69" s="536"/>
    </row>
    <row r="70" spans="1:14">
      <c r="A70" s="31"/>
      <c r="B70" s="31"/>
      <c r="C70" s="32"/>
      <c r="D70" s="31"/>
      <c r="E70" s="31"/>
      <c r="F70" s="31"/>
      <c r="G70" s="31"/>
      <c r="H70" s="31"/>
      <c r="I70" s="31"/>
      <c r="J70" s="31"/>
      <c r="K70" s="31"/>
      <c r="L70" s="31"/>
      <c r="M70" s="31"/>
      <c r="N70" s="536"/>
    </row>
    <row r="71" spans="1:14">
      <c r="A71" s="31"/>
      <c r="B71" s="31"/>
      <c r="C71" s="32"/>
      <c r="D71" s="31"/>
      <c r="E71" s="31"/>
      <c r="F71" s="31"/>
      <c r="G71" s="31"/>
      <c r="H71" s="31"/>
      <c r="I71" s="31"/>
      <c r="J71" s="31"/>
      <c r="K71" s="31"/>
      <c r="L71" s="31"/>
      <c r="M71" s="31"/>
      <c r="N71" s="536"/>
    </row>
    <row r="72" spans="1:14">
      <c r="A72" s="31"/>
      <c r="B72" s="31"/>
      <c r="C72" s="32"/>
      <c r="D72" s="31"/>
      <c r="E72" s="31"/>
      <c r="F72" s="31"/>
      <c r="G72" s="31"/>
      <c r="H72" s="31"/>
      <c r="I72" s="31"/>
      <c r="J72" s="31"/>
      <c r="K72" s="31"/>
      <c r="L72" s="31"/>
      <c r="M72" s="31"/>
      <c r="N72" s="536"/>
    </row>
    <row r="73" spans="1:14">
      <c r="A73" s="31"/>
      <c r="B73" s="31"/>
      <c r="C73" s="32"/>
      <c r="D73" s="31"/>
      <c r="E73" s="31"/>
      <c r="F73" s="31"/>
      <c r="G73" s="31"/>
      <c r="H73" s="31"/>
      <c r="I73" s="31"/>
      <c r="J73" s="31"/>
      <c r="K73" s="31"/>
      <c r="L73" s="31"/>
      <c r="M73" s="31"/>
      <c r="N73" s="536"/>
    </row>
    <row r="74" spans="1:14">
      <c r="A74" s="31"/>
      <c r="B74" s="31"/>
      <c r="C74" s="32"/>
      <c r="D74" s="31"/>
      <c r="E74" s="31"/>
      <c r="F74" s="31"/>
      <c r="G74" s="31"/>
      <c r="H74" s="31"/>
      <c r="I74" s="31"/>
      <c r="J74" s="31"/>
      <c r="K74" s="31"/>
      <c r="L74" s="31"/>
      <c r="M74" s="31"/>
      <c r="N74" s="536"/>
    </row>
    <row r="75" spans="1:14">
      <c r="A75" s="31"/>
      <c r="B75" s="31"/>
      <c r="C75" s="32"/>
      <c r="D75" s="31"/>
      <c r="E75" s="31"/>
      <c r="F75" s="31"/>
      <c r="G75" s="31"/>
      <c r="H75" s="31"/>
      <c r="I75" s="31"/>
      <c r="J75" s="31"/>
      <c r="K75" s="31"/>
      <c r="L75" s="31"/>
      <c r="M75" s="31"/>
      <c r="N75" s="536"/>
    </row>
    <row r="76" spans="1:14">
      <c r="A76" s="31"/>
      <c r="B76" s="31"/>
      <c r="C76" s="32"/>
      <c r="D76" s="31"/>
      <c r="E76" s="31"/>
      <c r="F76" s="31"/>
      <c r="G76" s="31"/>
      <c r="H76" s="31"/>
      <c r="I76" s="31"/>
      <c r="J76" s="31"/>
      <c r="K76" s="31"/>
      <c r="L76" s="31"/>
      <c r="M76" s="31"/>
      <c r="N76" s="536"/>
    </row>
    <row r="77" spans="1:14">
      <c r="A77" s="31"/>
      <c r="B77" s="31"/>
      <c r="C77" s="32"/>
      <c r="D77" s="31"/>
      <c r="E77" s="31"/>
      <c r="F77" s="31"/>
      <c r="G77" s="31"/>
      <c r="H77" s="31"/>
      <c r="I77" s="31"/>
      <c r="J77" s="31"/>
      <c r="K77" s="31"/>
      <c r="L77" s="31"/>
      <c r="M77" s="31"/>
      <c r="N77" s="536"/>
    </row>
    <row r="78" spans="1:14">
      <c r="A78" s="31"/>
      <c r="B78" s="31"/>
      <c r="C78" s="32"/>
      <c r="D78" s="31"/>
      <c r="E78" s="31"/>
      <c r="F78" s="31"/>
      <c r="G78" s="31"/>
      <c r="H78" s="31"/>
      <c r="I78" s="31"/>
      <c r="J78" s="31"/>
      <c r="K78" s="31"/>
      <c r="L78" s="31"/>
      <c r="M78" s="31"/>
      <c r="N78" s="536"/>
    </row>
    <row r="79" spans="1:14">
      <c r="A79" s="31"/>
      <c r="B79" s="31"/>
      <c r="C79" s="32"/>
      <c r="D79" s="31"/>
      <c r="E79" s="31"/>
      <c r="F79" s="31"/>
      <c r="G79" s="31"/>
      <c r="H79" s="31"/>
      <c r="I79" s="31"/>
      <c r="J79" s="31"/>
      <c r="K79" s="31"/>
      <c r="L79" s="31"/>
      <c r="M79" s="31"/>
      <c r="N79" s="536"/>
    </row>
    <row r="80" spans="1:14">
      <c r="A80" s="31"/>
      <c r="B80" s="31"/>
      <c r="C80" s="32"/>
      <c r="D80" s="31"/>
      <c r="E80" s="31"/>
      <c r="F80" s="31"/>
      <c r="G80" s="31"/>
      <c r="H80" s="31"/>
      <c r="I80" s="31"/>
      <c r="J80" s="31"/>
      <c r="K80" s="31"/>
      <c r="L80" s="31"/>
      <c r="M80" s="31"/>
      <c r="N80" s="536"/>
    </row>
    <row r="81" spans="1:14">
      <c r="A81" s="31"/>
      <c r="B81" s="31"/>
      <c r="C81" s="32"/>
      <c r="D81" s="31"/>
      <c r="E81" s="31"/>
      <c r="F81" s="31"/>
      <c r="G81" s="31"/>
      <c r="H81" s="31"/>
      <c r="I81" s="31"/>
      <c r="J81" s="31"/>
      <c r="K81" s="31"/>
      <c r="L81" s="31"/>
      <c r="M81" s="31"/>
      <c r="N81" s="536"/>
    </row>
    <row r="82" spans="1:14">
      <c r="A82" s="31"/>
      <c r="B82" s="31"/>
      <c r="C82" s="32"/>
      <c r="D82" s="31"/>
      <c r="E82" s="31"/>
      <c r="F82" s="31"/>
      <c r="G82" s="31"/>
      <c r="H82" s="31"/>
      <c r="I82" s="31"/>
      <c r="J82" s="31"/>
      <c r="K82" s="31"/>
      <c r="L82" s="31"/>
      <c r="M82" s="31"/>
      <c r="N82" s="536"/>
    </row>
    <row r="83" spans="1:14">
      <c r="A83" s="31"/>
      <c r="B83" s="31"/>
      <c r="C83" s="32"/>
      <c r="D83" s="31"/>
      <c r="E83" s="31"/>
      <c r="F83" s="31"/>
      <c r="G83" s="31"/>
      <c r="H83" s="31"/>
      <c r="I83" s="31"/>
      <c r="J83" s="31"/>
      <c r="K83" s="31"/>
      <c r="L83" s="31"/>
      <c r="M83" s="31"/>
      <c r="N83" s="536"/>
    </row>
    <row r="84" spans="1:14">
      <c r="A84" s="31"/>
      <c r="B84" s="31"/>
      <c r="C84" s="32"/>
      <c r="D84" s="31"/>
      <c r="E84" s="31"/>
      <c r="F84" s="31"/>
      <c r="G84" s="31"/>
      <c r="H84" s="31"/>
      <c r="I84" s="31"/>
      <c r="J84" s="31"/>
      <c r="K84" s="31"/>
      <c r="L84" s="31"/>
      <c r="M84" s="31"/>
      <c r="N84" s="536"/>
    </row>
    <row r="85" spans="1:14">
      <c r="A85" s="31"/>
      <c r="B85" s="31"/>
      <c r="C85" s="32"/>
      <c r="D85" s="31"/>
      <c r="E85" s="31"/>
      <c r="F85" s="31"/>
      <c r="G85" s="31"/>
      <c r="H85" s="31"/>
      <c r="I85" s="31"/>
      <c r="J85" s="31"/>
      <c r="K85" s="31"/>
      <c r="L85" s="31"/>
      <c r="M85" s="31"/>
      <c r="N85" s="536"/>
    </row>
    <row r="86" spans="1:14">
      <c r="A86" s="31"/>
      <c r="B86" s="31"/>
      <c r="C86" s="32"/>
      <c r="D86" s="31"/>
      <c r="E86" s="31"/>
      <c r="F86" s="31"/>
      <c r="G86" s="31"/>
      <c r="H86" s="31"/>
      <c r="I86" s="31"/>
      <c r="J86" s="31"/>
      <c r="K86" s="31"/>
      <c r="L86" s="31"/>
      <c r="M86" s="31"/>
      <c r="N86" s="536"/>
    </row>
  </sheetData>
  <mergeCells count="17">
    <mergeCell ref="A57:F57"/>
    <mergeCell ref="A1:N1"/>
    <mergeCell ref="A38:F38"/>
    <mergeCell ref="A39:F39"/>
    <mergeCell ref="A40:B40"/>
    <mergeCell ref="A46:F46"/>
    <mergeCell ref="A47:F47"/>
    <mergeCell ref="A50:F50"/>
    <mergeCell ref="A52:F52"/>
    <mergeCell ref="A53:F53"/>
    <mergeCell ref="A54:F54"/>
    <mergeCell ref="A56:E56"/>
    <mergeCell ref="A61:F61"/>
    <mergeCell ref="A62:F62"/>
    <mergeCell ref="A63:F63"/>
    <mergeCell ref="A65:F65"/>
    <mergeCell ref="A66:F66"/>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O97"/>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8" width="9.54296875" customWidth="1"/>
    <col min="9" max="9" width="7.1796875" customWidth="1"/>
    <col min="10" max="10" width="9.54296875" bestFit="1" customWidth="1"/>
    <col min="11" max="11" width="7.7265625" customWidth="1"/>
    <col min="12" max="12" width="9.7265625" customWidth="1"/>
    <col min="13" max="13" width="9.1796875" customWidth="1"/>
    <col min="14" max="14" width="34.81640625" customWidth="1"/>
  </cols>
  <sheetData>
    <row r="1" spans="1:14" ht="15.5">
      <c r="A1" s="854" t="s">
        <v>359</v>
      </c>
      <c r="B1" s="854"/>
      <c r="C1" s="854"/>
      <c r="D1" s="854"/>
      <c r="E1" s="854"/>
      <c r="F1" s="854"/>
      <c r="G1" s="854"/>
      <c r="H1" s="854"/>
      <c r="I1" s="854"/>
      <c r="J1" s="854"/>
      <c r="K1" s="854"/>
      <c r="L1" s="854"/>
      <c r="M1" s="854"/>
      <c r="N1" s="854"/>
    </row>
    <row r="2" spans="1:14">
      <c r="A2" s="702" t="s">
        <v>884</v>
      </c>
      <c r="B2" s="370"/>
      <c r="C2" s="639"/>
      <c r="D2" s="370"/>
      <c r="E2" s="370"/>
      <c r="F2" s="370"/>
      <c r="G2" s="370"/>
      <c r="H2" s="370"/>
      <c r="I2" s="370"/>
      <c r="J2" s="370"/>
      <c r="K2" s="370"/>
      <c r="L2" s="370"/>
      <c r="M2" s="370"/>
      <c r="N2" s="370"/>
    </row>
    <row r="3" spans="1:14">
      <c r="A3" s="506" t="s">
        <v>1227</v>
      </c>
      <c r="B3" s="370"/>
      <c r="C3" s="639"/>
      <c r="D3" s="370"/>
      <c r="E3" s="370"/>
      <c r="F3" s="451" t="s">
        <v>210</v>
      </c>
      <c r="G3" s="370"/>
      <c r="H3" s="370"/>
      <c r="I3" s="370"/>
      <c r="J3" s="370"/>
      <c r="K3" s="370"/>
      <c r="L3" s="370"/>
      <c r="M3" s="370"/>
      <c r="N3" s="370"/>
    </row>
    <row r="4" spans="1:14">
      <c r="A4" s="506" t="s">
        <v>1139</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360</v>
      </c>
      <c r="B7" s="36" t="s">
        <v>1131</v>
      </c>
      <c r="C7" s="37" t="s">
        <v>218</v>
      </c>
      <c r="D7" s="38">
        <v>1</v>
      </c>
      <c r="E7" s="258">
        <v>197</v>
      </c>
      <c r="F7" s="303">
        <f t="shared" ref="F7:F15" si="0">SUM(G7:M7)</f>
        <v>205</v>
      </c>
      <c r="G7" s="304">
        <v>0</v>
      </c>
      <c r="H7" s="304">
        <v>0</v>
      </c>
      <c r="I7" s="304">
        <v>0</v>
      </c>
      <c r="J7" s="304">
        <v>205</v>
      </c>
      <c r="K7" s="304">
        <v>0</v>
      </c>
      <c r="L7" s="304">
        <v>0</v>
      </c>
      <c r="M7" s="305">
        <v>0</v>
      </c>
      <c r="N7" s="318" t="s">
        <v>361</v>
      </c>
    </row>
    <row r="8" spans="1:14" ht="15" customHeight="1">
      <c r="A8" s="36" t="s">
        <v>360</v>
      </c>
      <c r="B8" s="36" t="s">
        <v>1132</v>
      </c>
      <c r="C8" s="37" t="s">
        <v>218</v>
      </c>
      <c r="D8" s="39">
        <v>1</v>
      </c>
      <c r="E8" s="258">
        <v>197</v>
      </c>
      <c r="F8" s="303">
        <f t="shared" si="0"/>
        <v>205</v>
      </c>
      <c r="G8" s="304">
        <v>0</v>
      </c>
      <c r="H8" s="304">
        <v>205</v>
      </c>
      <c r="I8" s="304">
        <v>0</v>
      </c>
      <c r="J8" s="304">
        <v>0</v>
      </c>
      <c r="K8" s="304">
        <v>0</v>
      </c>
      <c r="L8" s="304">
        <v>0</v>
      </c>
      <c r="M8" s="305">
        <v>0</v>
      </c>
      <c r="N8" s="318" t="s">
        <v>362</v>
      </c>
    </row>
    <row r="9" spans="1:14" ht="15" customHeight="1">
      <c r="A9" s="36" t="s">
        <v>360</v>
      </c>
      <c r="B9" s="259" t="s">
        <v>363</v>
      </c>
      <c r="C9" s="37" t="s">
        <v>218</v>
      </c>
      <c r="D9" s="39">
        <v>1</v>
      </c>
      <c r="E9" s="258">
        <v>197</v>
      </c>
      <c r="F9" s="303">
        <f t="shared" si="0"/>
        <v>205</v>
      </c>
      <c r="G9" s="304">
        <v>205</v>
      </c>
      <c r="H9" s="304">
        <v>0</v>
      </c>
      <c r="I9" s="304">
        <v>0</v>
      </c>
      <c r="J9" s="304">
        <v>0</v>
      </c>
      <c r="K9" s="304">
        <v>0</v>
      </c>
      <c r="L9" s="304">
        <v>0</v>
      </c>
      <c r="M9" s="305">
        <v>0</v>
      </c>
      <c r="N9" s="318" t="s">
        <v>364</v>
      </c>
    </row>
    <row r="10" spans="1:14" ht="15" customHeight="1">
      <c r="A10" s="36" t="s">
        <v>360</v>
      </c>
      <c r="B10" s="259" t="s">
        <v>365</v>
      </c>
      <c r="C10" s="37" t="s">
        <v>218</v>
      </c>
      <c r="D10" s="39">
        <v>1</v>
      </c>
      <c r="E10" s="258">
        <v>197</v>
      </c>
      <c r="F10" s="303">
        <f t="shared" si="0"/>
        <v>205</v>
      </c>
      <c r="G10" s="304">
        <v>0</v>
      </c>
      <c r="H10" s="304">
        <v>0</v>
      </c>
      <c r="I10" s="304">
        <v>205</v>
      </c>
      <c r="J10" s="304">
        <v>0</v>
      </c>
      <c r="K10" s="304">
        <v>0</v>
      </c>
      <c r="L10" s="304">
        <v>0</v>
      </c>
      <c r="M10" s="305">
        <v>0</v>
      </c>
      <c r="N10" s="320" t="s">
        <v>366</v>
      </c>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4</v>
      </c>
      <c r="E16" s="42">
        <f>SUM(E7:E15)</f>
        <v>788</v>
      </c>
      <c r="F16" s="43">
        <f t="shared" si="1"/>
        <v>820</v>
      </c>
      <c r="G16" s="43">
        <f t="shared" si="1"/>
        <v>205</v>
      </c>
      <c r="H16" s="43">
        <f t="shared" si="1"/>
        <v>205</v>
      </c>
      <c r="I16" s="43">
        <f t="shared" si="1"/>
        <v>205</v>
      </c>
      <c r="J16" s="43">
        <f t="shared" si="1"/>
        <v>205</v>
      </c>
      <c r="K16" s="43">
        <f t="shared" si="1"/>
        <v>0</v>
      </c>
      <c r="L16" s="43">
        <f t="shared" si="1"/>
        <v>0</v>
      </c>
      <c r="M16" s="43">
        <f t="shared" si="1"/>
        <v>0</v>
      </c>
      <c r="N16" s="249"/>
    </row>
    <row r="17" spans="1:14">
      <c r="A17" s="67" t="s">
        <v>220</v>
      </c>
      <c r="B17" s="68"/>
      <c r="C17" s="69"/>
      <c r="D17" s="68"/>
      <c r="E17" s="68"/>
      <c r="F17" s="70"/>
      <c r="G17" s="70"/>
      <c r="H17" s="70"/>
      <c r="I17" s="70"/>
      <c r="J17" s="70"/>
      <c r="K17" s="70"/>
      <c r="L17" s="70"/>
      <c r="M17" s="70"/>
      <c r="N17" s="70"/>
    </row>
    <row r="18" spans="1:14" ht="43.5">
      <c r="A18" s="259" t="s">
        <v>278</v>
      </c>
      <c r="B18" s="259" t="s">
        <v>367</v>
      </c>
      <c r="C18" s="44">
        <v>253</v>
      </c>
      <c r="D18" s="45"/>
      <c r="E18" s="258">
        <v>152</v>
      </c>
      <c r="F18" s="350">
        <f>SUM(G18:M18)</f>
        <v>155</v>
      </c>
      <c r="G18" s="304">
        <v>0</v>
      </c>
      <c r="H18" s="304">
        <v>0</v>
      </c>
      <c r="I18" s="304">
        <v>0</v>
      </c>
      <c r="J18" s="304">
        <v>155</v>
      </c>
      <c r="K18" s="304">
        <v>0</v>
      </c>
      <c r="L18" s="304">
        <v>0</v>
      </c>
      <c r="M18" s="305">
        <v>0</v>
      </c>
      <c r="N18" s="318" t="s">
        <v>1133</v>
      </c>
    </row>
    <row r="19" spans="1:14">
      <c r="A19" s="259" t="s">
        <v>278</v>
      </c>
      <c r="B19" s="259"/>
      <c r="C19" s="44">
        <v>253</v>
      </c>
      <c r="D19" s="45"/>
      <c r="E19" s="258">
        <v>0</v>
      </c>
      <c r="F19" s="350">
        <f>SUM(G19:M19)</f>
        <v>0</v>
      </c>
      <c r="G19" s="304">
        <v>0</v>
      </c>
      <c r="H19" s="304">
        <v>0</v>
      </c>
      <c r="I19" s="304">
        <v>0</v>
      </c>
      <c r="J19" s="304">
        <v>0</v>
      </c>
      <c r="K19" s="304">
        <v>0</v>
      </c>
      <c r="L19" s="304">
        <v>0</v>
      </c>
      <c r="M19" s="305">
        <v>0</v>
      </c>
      <c r="N19" s="320"/>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7"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SUM(D18:D21)</f>
        <v>0</v>
      </c>
      <c r="E22" s="42">
        <f>SUM(E18:E21)</f>
        <v>152</v>
      </c>
      <c r="F22" s="43">
        <f>SUM(F18:F21)</f>
        <v>155</v>
      </c>
      <c r="G22" s="43">
        <f t="shared" ref="G22:M22" si="2">SUM(G18:G21)</f>
        <v>0</v>
      </c>
      <c r="H22" s="43">
        <f t="shared" si="2"/>
        <v>0</v>
      </c>
      <c r="I22" s="43">
        <f t="shared" si="2"/>
        <v>0</v>
      </c>
      <c r="J22" s="43">
        <f t="shared" si="2"/>
        <v>155</v>
      </c>
      <c r="K22" s="43">
        <f t="shared" si="2"/>
        <v>0</v>
      </c>
      <c r="L22" s="43">
        <f t="shared" si="2"/>
        <v>0</v>
      </c>
      <c r="M22" s="43">
        <f t="shared" si="2"/>
        <v>0</v>
      </c>
      <c r="N22" s="348"/>
    </row>
    <row r="23" spans="1:14" s="7" customFormat="1">
      <c r="A23" s="67" t="s">
        <v>279</v>
      </c>
      <c r="B23" s="68"/>
      <c r="C23" s="69"/>
      <c r="D23" s="68"/>
      <c r="E23" s="68"/>
      <c r="F23" s="70"/>
      <c r="G23" s="70"/>
      <c r="H23" s="70"/>
      <c r="I23" s="70"/>
      <c r="J23" s="70"/>
      <c r="K23" s="70"/>
      <c r="L23" s="70"/>
      <c r="M23" s="70"/>
      <c r="N23" s="70"/>
    </row>
    <row r="24" spans="1:14" ht="29">
      <c r="A24" s="259" t="s">
        <v>227</v>
      </c>
      <c r="B24" s="36"/>
      <c r="C24" s="37" t="s">
        <v>228</v>
      </c>
      <c r="D24" s="38">
        <v>0</v>
      </c>
      <c r="E24" s="258">
        <v>80</v>
      </c>
      <c r="F24" s="303">
        <f t="shared" ref="F24:F37" si="3">SUM(G24:M24)</f>
        <v>80</v>
      </c>
      <c r="G24" s="304">
        <v>20</v>
      </c>
      <c r="H24" s="304">
        <v>20</v>
      </c>
      <c r="I24" s="304">
        <v>20</v>
      </c>
      <c r="J24" s="304">
        <v>20</v>
      </c>
      <c r="K24" s="304">
        <v>0</v>
      </c>
      <c r="L24" s="304">
        <v>0</v>
      </c>
      <c r="M24" s="305">
        <v>0</v>
      </c>
      <c r="N24" s="318" t="s">
        <v>739</v>
      </c>
    </row>
    <row r="25" spans="1:14" ht="101.5">
      <c r="A25" s="259" t="s">
        <v>227</v>
      </c>
      <c r="B25" s="36"/>
      <c r="C25" s="44" t="s">
        <v>228</v>
      </c>
      <c r="D25" s="45"/>
      <c r="E25" s="258">
        <v>98</v>
      </c>
      <c r="F25" s="303">
        <f t="shared" si="3"/>
        <v>206</v>
      </c>
      <c r="G25" s="304">
        <v>26</v>
      </c>
      <c r="H25" s="304">
        <v>84</v>
      </c>
      <c r="I25" s="304">
        <v>24</v>
      </c>
      <c r="J25" s="304">
        <v>72</v>
      </c>
      <c r="K25" s="304">
        <v>0</v>
      </c>
      <c r="L25" s="304">
        <v>0</v>
      </c>
      <c r="M25" s="305">
        <v>0</v>
      </c>
      <c r="N25" s="318" t="s">
        <v>1336</v>
      </c>
    </row>
    <row r="26" spans="1:14" s="370" customFormat="1">
      <c r="A26" s="259" t="s">
        <v>229</v>
      </c>
      <c r="B26" s="36"/>
      <c r="C26" s="44" t="s">
        <v>230</v>
      </c>
      <c r="D26" s="45"/>
      <c r="E26" s="258">
        <v>0</v>
      </c>
      <c r="F26" s="303">
        <f>SUM(G26:M26)</f>
        <v>0</v>
      </c>
      <c r="G26" s="304">
        <v>0</v>
      </c>
      <c r="H26" s="304">
        <v>0</v>
      </c>
      <c r="I26" s="304">
        <v>0</v>
      </c>
      <c r="J26" s="304">
        <v>0</v>
      </c>
      <c r="K26" s="304">
        <v>0</v>
      </c>
      <c r="L26" s="304">
        <v>0</v>
      </c>
      <c r="M26" s="305">
        <v>0</v>
      </c>
      <c r="N26" s="318"/>
    </row>
    <row r="27" spans="1:14" s="370" customFormat="1" ht="29">
      <c r="A27" s="259" t="s">
        <v>231</v>
      </c>
      <c r="B27" s="36" t="s">
        <v>368</v>
      </c>
      <c r="C27" s="44" t="s">
        <v>232</v>
      </c>
      <c r="D27" s="45"/>
      <c r="E27" s="258">
        <v>2</v>
      </c>
      <c r="F27" s="303">
        <f>SUM(G27:M27)</f>
        <v>2</v>
      </c>
      <c r="G27" s="304">
        <v>0</v>
      </c>
      <c r="H27" s="304">
        <v>0</v>
      </c>
      <c r="I27" s="304">
        <v>0</v>
      </c>
      <c r="J27" s="304">
        <v>0</v>
      </c>
      <c r="K27" s="304">
        <v>2</v>
      </c>
      <c r="L27" s="304">
        <v>0</v>
      </c>
      <c r="M27" s="305">
        <v>0</v>
      </c>
      <c r="N27" s="320" t="s">
        <v>369</v>
      </c>
    </row>
    <row r="28" spans="1:14">
      <c r="A28" s="259" t="s">
        <v>233</v>
      </c>
      <c r="B28" s="36"/>
      <c r="C28" s="44" t="s">
        <v>234</v>
      </c>
      <c r="D28" s="45"/>
      <c r="E28" s="258">
        <v>0</v>
      </c>
      <c r="F28" s="303">
        <f t="shared" si="3"/>
        <v>0</v>
      </c>
      <c r="G28" s="304">
        <v>0</v>
      </c>
      <c r="H28" s="304">
        <v>0</v>
      </c>
      <c r="I28" s="304">
        <v>0</v>
      </c>
      <c r="J28" s="304">
        <v>0</v>
      </c>
      <c r="K28" s="304">
        <v>0</v>
      </c>
      <c r="L28" s="304">
        <v>0</v>
      </c>
      <c r="M28" s="305">
        <v>0</v>
      </c>
      <c r="N28" s="348"/>
    </row>
    <row r="29" spans="1:14">
      <c r="A29" s="259" t="s">
        <v>235</v>
      </c>
      <c r="B29" s="36"/>
      <c r="C29" s="44">
        <v>251</v>
      </c>
      <c r="D29" s="45"/>
      <c r="E29" s="258">
        <v>0</v>
      </c>
      <c r="F29" s="303">
        <f t="shared" si="3"/>
        <v>0</v>
      </c>
      <c r="G29" s="304"/>
      <c r="H29" s="304"/>
      <c r="I29" s="304"/>
      <c r="J29" s="304"/>
      <c r="K29" s="304"/>
      <c r="L29" s="304">
        <v>0</v>
      </c>
      <c r="M29" s="305"/>
      <c r="N29" s="318"/>
    </row>
    <row r="30" spans="1:14">
      <c r="A30" s="259" t="s">
        <v>242</v>
      </c>
      <c r="B30" s="36"/>
      <c r="C30" s="44">
        <v>252</v>
      </c>
      <c r="D30" s="45"/>
      <c r="E30" s="258">
        <v>0</v>
      </c>
      <c r="F30" s="303">
        <f t="shared" si="3"/>
        <v>0</v>
      </c>
      <c r="G30" s="304">
        <v>0</v>
      </c>
      <c r="H30" s="304">
        <v>0</v>
      </c>
      <c r="I30" s="304">
        <v>0</v>
      </c>
      <c r="J30" s="304">
        <v>0</v>
      </c>
      <c r="K30" s="304">
        <v>0</v>
      </c>
      <c r="L30" s="304">
        <v>0</v>
      </c>
      <c r="M30" s="305">
        <v>0</v>
      </c>
      <c r="N30" s="320"/>
    </row>
    <row r="31" spans="1:14" ht="29">
      <c r="A31" s="530" t="s">
        <v>243</v>
      </c>
      <c r="B31" s="57" t="s">
        <v>1337</v>
      </c>
      <c r="C31" s="44">
        <v>252</v>
      </c>
      <c r="D31" s="45"/>
      <c r="E31" s="258">
        <v>0</v>
      </c>
      <c r="F31" s="303">
        <f t="shared" si="3"/>
        <v>50</v>
      </c>
      <c r="G31" s="304">
        <v>0</v>
      </c>
      <c r="H31" s="304">
        <v>0</v>
      </c>
      <c r="I31" s="304">
        <v>0</v>
      </c>
      <c r="J31" s="304">
        <v>0</v>
      </c>
      <c r="K31" s="304">
        <v>50</v>
      </c>
      <c r="L31" s="304">
        <v>0</v>
      </c>
      <c r="M31" s="305">
        <v>0</v>
      </c>
      <c r="N31" s="318" t="s">
        <v>1338</v>
      </c>
    </row>
    <row r="32" spans="1:14">
      <c r="A32" s="259" t="s">
        <v>244</v>
      </c>
      <c r="B32" s="36"/>
      <c r="C32" s="44">
        <v>253</v>
      </c>
      <c r="D32" s="259"/>
      <c r="E32" s="258">
        <v>0</v>
      </c>
      <c r="F32" s="303">
        <f t="shared" si="3"/>
        <v>0</v>
      </c>
      <c r="G32" s="304">
        <v>0</v>
      </c>
      <c r="H32" s="304">
        <v>0</v>
      </c>
      <c r="I32" s="304">
        <v>0</v>
      </c>
      <c r="J32" s="304">
        <v>0</v>
      </c>
      <c r="K32" s="304">
        <v>0</v>
      </c>
      <c r="L32" s="304">
        <v>0</v>
      </c>
      <c r="M32" s="305">
        <v>0</v>
      </c>
      <c r="N32" s="348"/>
    </row>
    <row r="33" spans="1:15">
      <c r="A33" s="259" t="s">
        <v>245</v>
      </c>
      <c r="B33" s="36"/>
      <c r="C33" s="44">
        <v>255</v>
      </c>
      <c r="D33" s="259"/>
      <c r="E33" s="258">
        <v>0</v>
      </c>
      <c r="F33" s="303">
        <f t="shared" si="3"/>
        <v>0</v>
      </c>
      <c r="G33" s="304">
        <v>0</v>
      </c>
      <c r="H33" s="304">
        <v>0</v>
      </c>
      <c r="I33" s="304">
        <v>0</v>
      </c>
      <c r="J33" s="304">
        <v>0</v>
      </c>
      <c r="K33" s="304">
        <v>0</v>
      </c>
      <c r="L33" s="304">
        <v>0</v>
      </c>
      <c r="M33" s="305">
        <v>0</v>
      </c>
      <c r="N33" s="348"/>
      <c r="O33" s="370"/>
    </row>
    <row r="34" spans="1:15">
      <c r="A34" s="259" t="s">
        <v>246</v>
      </c>
      <c r="B34" s="36"/>
      <c r="C34" s="44">
        <v>256</v>
      </c>
      <c r="D34" s="259"/>
      <c r="E34" s="258">
        <v>0</v>
      </c>
      <c r="F34" s="303">
        <f t="shared" si="3"/>
        <v>0</v>
      </c>
      <c r="G34" s="304">
        <v>0</v>
      </c>
      <c r="H34" s="304">
        <v>0</v>
      </c>
      <c r="I34" s="304">
        <v>0</v>
      </c>
      <c r="J34" s="304">
        <v>0</v>
      </c>
      <c r="K34" s="304">
        <v>0</v>
      </c>
      <c r="L34" s="304">
        <v>0</v>
      </c>
      <c r="M34" s="305">
        <v>0</v>
      </c>
      <c r="N34" s="348"/>
      <c r="O34" s="370"/>
    </row>
    <row r="35" spans="1:15">
      <c r="A35" s="259" t="s">
        <v>247</v>
      </c>
      <c r="B35" s="36"/>
      <c r="C35" s="44">
        <v>257</v>
      </c>
      <c r="D35" s="259"/>
      <c r="E35" s="258">
        <v>0</v>
      </c>
      <c r="F35" s="303">
        <f t="shared" si="3"/>
        <v>0</v>
      </c>
      <c r="G35" s="304">
        <v>0</v>
      </c>
      <c r="H35" s="304">
        <v>0</v>
      </c>
      <c r="I35" s="304">
        <v>0</v>
      </c>
      <c r="J35" s="304">
        <v>0</v>
      </c>
      <c r="K35" s="304">
        <v>0</v>
      </c>
      <c r="L35" s="304">
        <v>0</v>
      </c>
      <c r="M35" s="305">
        <v>0</v>
      </c>
      <c r="N35" s="348"/>
      <c r="O35" s="370"/>
    </row>
    <row r="36" spans="1:15">
      <c r="A36" s="259" t="s">
        <v>248</v>
      </c>
      <c r="B36" s="36"/>
      <c r="C36" s="44" t="s">
        <v>249</v>
      </c>
      <c r="D36" s="259"/>
      <c r="E36" s="258">
        <v>0</v>
      </c>
      <c r="F36" s="303">
        <f t="shared" si="3"/>
        <v>0</v>
      </c>
      <c r="G36" s="304">
        <v>0</v>
      </c>
      <c r="H36" s="304">
        <v>0</v>
      </c>
      <c r="I36" s="304">
        <v>0</v>
      </c>
      <c r="J36" s="304">
        <v>0</v>
      </c>
      <c r="K36" s="304">
        <v>0</v>
      </c>
      <c r="L36" s="304">
        <v>0</v>
      </c>
      <c r="M36" s="305">
        <v>0</v>
      </c>
      <c r="N36" s="348"/>
      <c r="O36" s="370"/>
    </row>
    <row r="37" spans="1:15">
      <c r="A37" s="260" t="s">
        <v>250</v>
      </c>
      <c r="B37" s="36"/>
      <c r="C37" s="261" t="s">
        <v>251</v>
      </c>
      <c r="D37" s="260"/>
      <c r="E37" s="258">
        <v>10</v>
      </c>
      <c r="F37" s="303">
        <f t="shared" si="3"/>
        <v>10</v>
      </c>
      <c r="G37" s="304">
        <v>0</v>
      </c>
      <c r="H37" s="304">
        <v>0</v>
      </c>
      <c r="I37" s="304">
        <v>0</v>
      </c>
      <c r="J37" s="304">
        <v>10</v>
      </c>
      <c r="K37" s="304">
        <v>0</v>
      </c>
      <c r="L37" s="304">
        <v>0</v>
      </c>
      <c r="M37" s="305">
        <v>0</v>
      </c>
      <c r="N37" s="318" t="s">
        <v>370</v>
      </c>
      <c r="O37" s="370"/>
    </row>
    <row r="38" spans="1:15">
      <c r="A38" s="40" t="s">
        <v>254</v>
      </c>
      <c r="B38" s="260"/>
      <c r="C38" s="261"/>
      <c r="D38" s="262"/>
      <c r="E38" s="42">
        <f t="shared" ref="E38:M38" si="4">SUM(E24:E37)</f>
        <v>190</v>
      </c>
      <c r="F38" s="43">
        <f t="shared" si="4"/>
        <v>348</v>
      </c>
      <c r="G38" s="43">
        <f t="shared" si="4"/>
        <v>46</v>
      </c>
      <c r="H38" s="43">
        <f t="shared" si="4"/>
        <v>104</v>
      </c>
      <c r="I38" s="43">
        <f t="shared" si="4"/>
        <v>44</v>
      </c>
      <c r="J38" s="43">
        <f t="shared" si="4"/>
        <v>102</v>
      </c>
      <c r="K38" s="43">
        <f t="shared" si="4"/>
        <v>52</v>
      </c>
      <c r="L38" s="43">
        <f t="shared" si="4"/>
        <v>0</v>
      </c>
      <c r="M38" s="43">
        <f t="shared" si="4"/>
        <v>0</v>
      </c>
      <c r="N38" s="348"/>
      <c r="O38" s="370"/>
    </row>
    <row r="39" spans="1:15" s="149" customFormat="1">
      <c r="A39" s="40" t="s">
        <v>255</v>
      </c>
      <c r="B39" s="51"/>
      <c r="C39" s="147"/>
      <c r="D39" s="262"/>
      <c r="E39" s="236">
        <v>0</v>
      </c>
      <c r="F39" s="235">
        <v>0</v>
      </c>
      <c r="G39" s="235">
        <v>0</v>
      </c>
      <c r="H39" s="235">
        <v>0</v>
      </c>
      <c r="I39" s="235"/>
      <c r="J39" s="235"/>
      <c r="K39" s="235"/>
      <c r="L39" s="235"/>
      <c r="M39" s="235"/>
      <c r="N39" s="348"/>
      <c r="O39" s="370"/>
    </row>
    <row r="40" spans="1:15">
      <c r="A40" s="40" t="s">
        <v>256</v>
      </c>
      <c r="B40" s="46"/>
      <c r="C40" s="47"/>
      <c r="D40" s="48">
        <f>D38+D22+D16</f>
        <v>4</v>
      </c>
      <c r="E40" s="17">
        <f t="shared" ref="E40:L40" si="5">E16+E22+E38-E39</f>
        <v>1130</v>
      </c>
      <c r="F40" s="17">
        <f t="shared" si="5"/>
        <v>1323</v>
      </c>
      <c r="G40" s="17">
        <f t="shared" si="5"/>
        <v>251</v>
      </c>
      <c r="H40" s="17">
        <f t="shared" si="5"/>
        <v>309</v>
      </c>
      <c r="I40" s="17">
        <f t="shared" si="5"/>
        <v>249</v>
      </c>
      <c r="J40" s="17">
        <f t="shared" si="5"/>
        <v>462</v>
      </c>
      <c r="K40" s="17">
        <f t="shared" si="5"/>
        <v>52</v>
      </c>
      <c r="L40" s="17">
        <f t="shared" si="5"/>
        <v>0</v>
      </c>
      <c r="M40" s="17">
        <f>M38+M22+M16-M39</f>
        <v>0</v>
      </c>
      <c r="N40" s="346"/>
      <c r="O40" s="370"/>
    </row>
    <row r="42" spans="1:15" s="370" customFormat="1">
      <c r="C42" s="828"/>
      <c r="D42" s="451"/>
      <c r="E42" s="831" t="s">
        <v>371</v>
      </c>
    </row>
    <row r="43" spans="1:15" s="370" customFormat="1" ht="14.5" customHeight="1">
      <c r="C43" s="639"/>
      <c r="E43" s="283" t="s">
        <v>1518</v>
      </c>
      <c r="F43" s="830">
        <v>8677</v>
      </c>
      <c r="G43" s="830">
        <v>3193</v>
      </c>
      <c r="H43" s="830">
        <v>4581</v>
      </c>
      <c r="I43" s="830">
        <v>529</v>
      </c>
      <c r="J43" s="830">
        <v>373</v>
      </c>
      <c r="N43" s="853" t="s">
        <v>1521</v>
      </c>
      <c r="O43" s="539"/>
    </row>
    <row r="44" spans="1:15" s="370" customFormat="1" ht="14.5" customHeight="1">
      <c r="C44" s="828"/>
      <c r="E44" s="283" t="s">
        <v>1519</v>
      </c>
      <c r="F44" s="811">
        <v>8677</v>
      </c>
      <c r="G44" s="811">
        <v>3786</v>
      </c>
      <c r="H44" s="811">
        <v>3748</v>
      </c>
      <c r="I44" s="811">
        <v>725</v>
      </c>
      <c r="J44" s="811">
        <v>418</v>
      </c>
      <c r="N44" s="853"/>
      <c r="O44" s="829"/>
    </row>
    <row r="45" spans="1:15" s="370" customFormat="1" ht="14.5" customHeight="1">
      <c r="C45" s="828"/>
      <c r="E45" s="283" t="s">
        <v>1520</v>
      </c>
      <c r="F45" s="830"/>
      <c r="G45" s="830">
        <f>+G44-G43</f>
        <v>593</v>
      </c>
      <c r="H45" s="830">
        <f t="shared" ref="H45:J45" si="6">+H44-H43</f>
        <v>-833</v>
      </c>
      <c r="I45" s="830">
        <f t="shared" si="6"/>
        <v>196</v>
      </c>
      <c r="J45" s="830">
        <f t="shared" si="6"/>
        <v>45</v>
      </c>
      <c r="N45" s="853"/>
      <c r="O45" s="829"/>
    </row>
    <row r="46" spans="1:15" s="370" customFormat="1">
      <c r="C46" s="639"/>
      <c r="G46" s="370" t="s">
        <v>1013</v>
      </c>
      <c r="N46" s="853"/>
    </row>
    <row r="47" spans="1:15" s="370" customFormat="1">
      <c r="C47" s="639"/>
      <c r="G47" s="281"/>
      <c r="H47" s="281"/>
      <c r="I47" s="281"/>
      <c r="J47" s="281"/>
      <c r="N47" s="853"/>
    </row>
    <row r="48" spans="1:15">
      <c r="N48" s="853"/>
    </row>
    <row r="49" spans="1:14" s="370" customFormat="1" ht="15" thickBot="1">
      <c r="A49" s="31"/>
      <c r="B49" s="31"/>
      <c r="C49" s="32"/>
      <c r="D49" s="31"/>
      <c r="E49" s="31"/>
      <c r="F49" s="31"/>
      <c r="G49" s="31"/>
      <c r="H49" s="31"/>
      <c r="I49" s="31"/>
      <c r="J49" s="31"/>
      <c r="K49" s="31"/>
      <c r="L49" s="31"/>
      <c r="M49" s="31"/>
      <c r="N49" s="853"/>
    </row>
    <row r="50" spans="1:14" s="370" customFormat="1" ht="15.5">
      <c r="A50" s="873" t="s">
        <v>257</v>
      </c>
      <c r="B50" s="874"/>
      <c r="C50" s="874"/>
      <c r="D50" s="874"/>
      <c r="E50" s="874"/>
      <c r="F50" s="874"/>
      <c r="G50" s="550"/>
      <c r="H50" s="31"/>
      <c r="I50" s="31"/>
      <c r="J50" s="31"/>
      <c r="K50" s="31"/>
      <c r="L50" s="31"/>
      <c r="M50" s="31"/>
      <c r="N50" s="853"/>
    </row>
    <row r="51" spans="1:14" s="370" customFormat="1" ht="15.5">
      <c r="A51" s="875"/>
      <c r="B51" s="876"/>
      <c r="C51" s="876"/>
      <c r="D51" s="876"/>
      <c r="E51" s="876"/>
      <c r="F51" s="876"/>
      <c r="G51" s="551"/>
      <c r="H51" s="31"/>
      <c r="I51" s="31"/>
      <c r="J51" s="31"/>
      <c r="K51" s="31"/>
      <c r="L51" s="31"/>
      <c r="M51" s="31"/>
      <c r="N51" s="536"/>
    </row>
    <row r="52" spans="1:14" s="370" customFormat="1">
      <c r="A52" s="877" t="s">
        <v>258</v>
      </c>
      <c r="B52" s="878"/>
      <c r="C52" s="552"/>
      <c r="D52" s="552"/>
      <c r="E52" s="552"/>
      <c r="F52" s="552"/>
      <c r="G52" s="551"/>
      <c r="H52" s="31"/>
      <c r="I52" s="31"/>
      <c r="J52" s="31"/>
      <c r="K52" s="31"/>
      <c r="L52" s="31"/>
      <c r="M52" s="31"/>
      <c r="N52" s="536"/>
    </row>
    <row r="53" spans="1:14" s="370" customFormat="1">
      <c r="A53" s="553" t="s">
        <v>1028</v>
      </c>
      <c r="B53" s="554">
        <f>E40</f>
        <v>1130</v>
      </c>
      <c r="C53" s="555"/>
      <c r="D53" s="556"/>
      <c r="E53" s="556"/>
      <c r="F53" s="556"/>
      <c r="G53" s="551"/>
      <c r="H53" s="31"/>
      <c r="I53" s="31"/>
      <c r="J53" s="31"/>
      <c r="K53" s="31"/>
      <c r="L53" s="31"/>
      <c r="M53" s="31"/>
      <c r="N53" s="536"/>
    </row>
    <row r="54" spans="1:14" s="370" customFormat="1">
      <c r="A54" s="557" t="s">
        <v>1029</v>
      </c>
      <c r="B54" s="558">
        <f>F40</f>
        <v>1323</v>
      </c>
      <c r="C54" s="555"/>
      <c r="D54" s="556"/>
      <c r="E54" s="556"/>
      <c r="F54" s="556"/>
      <c r="G54" s="551"/>
      <c r="H54" s="31"/>
      <c r="I54" s="31"/>
      <c r="J54" s="31"/>
      <c r="K54" s="31"/>
      <c r="L54" s="31"/>
      <c r="M54" s="31"/>
      <c r="N54" s="536"/>
    </row>
    <row r="55" spans="1:14" s="370" customFormat="1">
      <c r="A55" s="559" t="s">
        <v>259</v>
      </c>
      <c r="B55" s="560">
        <f>B54-B53</f>
        <v>193</v>
      </c>
      <c r="C55" s="555"/>
      <c r="D55" s="556"/>
      <c r="E55" s="556"/>
      <c r="F55" s="556"/>
      <c r="G55" s="551"/>
      <c r="H55" s="31"/>
      <c r="I55" s="31"/>
      <c r="J55" s="31"/>
      <c r="K55" s="31"/>
      <c r="L55" s="31"/>
      <c r="M55" s="31"/>
      <c r="N55" s="536"/>
    </row>
    <row r="56" spans="1:14" s="370" customFormat="1">
      <c r="A56" s="559" t="s">
        <v>260</v>
      </c>
      <c r="B56" s="561">
        <f>B55/B53</f>
        <v>0.17079646017699116</v>
      </c>
      <c r="C56" s="555"/>
      <c r="D56" s="556"/>
      <c r="E56" s="556"/>
      <c r="F56" s="556"/>
      <c r="G56" s="551"/>
      <c r="H56" s="31"/>
      <c r="I56" s="31"/>
      <c r="J56" s="31"/>
      <c r="K56" s="31"/>
      <c r="L56" s="31"/>
      <c r="M56" s="31"/>
      <c r="N56" s="536"/>
    </row>
    <row r="57" spans="1:14" s="370" customFormat="1">
      <c r="A57" s="562"/>
      <c r="B57" s="556"/>
      <c r="C57" s="660"/>
      <c r="D57" s="556"/>
      <c r="E57" s="556"/>
      <c r="F57" s="556"/>
      <c r="G57" s="551"/>
      <c r="H57" s="31"/>
      <c r="I57" s="31"/>
      <c r="J57" s="31"/>
      <c r="K57" s="31"/>
      <c r="L57" s="31"/>
      <c r="M57" s="31"/>
      <c r="N57" s="536"/>
    </row>
    <row r="58" spans="1:14" s="370" customFormat="1">
      <c r="A58" s="879" t="s">
        <v>261</v>
      </c>
      <c r="B58" s="880"/>
      <c r="C58" s="880"/>
      <c r="D58" s="880"/>
      <c r="E58" s="880"/>
      <c r="F58" s="880"/>
      <c r="G58" s="551"/>
      <c r="H58" s="31"/>
      <c r="I58" s="31"/>
      <c r="J58" s="31"/>
      <c r="K58" s="31"/>
      <c r="L58" s="31"/>
      <c r="M58" s="31"/>
      <c r="N58" s="536"/>
    </row>
    <row r="59" spans="1:14" s="370" customFormat="1" ht="55.5" customHeight="1">
      <c r="A59" s="881" t="s">
        <v>372</v>
      </c>
      <c r="B59" s="882"/>
      <c r="C59" s="882"/>
      <c r="D59" s="882"/>
      <c r="E59" s="882"/>
      <c r="F59" s="883"/>
      <c r="G59" s="551"/>
      <c r="H59" s="31"/>
      <c r="I59" s="31"/>
      <c r="J59" s="31"/>
      <c r="K59" s="31"/>
      <c r="L59" s="31"/>
      <c r="M59" s="31"/>
      <c r="N59" s="536"/>
    </row>
    <row r="60" spans="1:14" s="370" customFormat="1">
      <c r="A60" s="563"/>
      <c r="B60" s="564"/>
      <c r="C60" s="564"/>
      <c r="D60" s="564"/>
      <c r="E60" s="564"/>
      <c r="F60" s="564"/>
      <c r="G60" s="551"/>
      <c r="H60" s="31"/>
      <c r="I60" s="31"/>
      <c r="J60" s="31"/>
      <c r="K60" s="31"/>
      <c r="L60" s="31"/>
      <c r="M60" s="31"/>
      <c r="N60" s="536"/>
    </row>
    <row r="61" spans="1:14" s="370" customFormat="1">
      <c r="A61" s="565" t="s">
        <v>262</v>
      </c>
      <c r="B61" s="556"/>
      <c r="C61" s="722"/>
      <c r="D61" s="556"/>
      <c r="E61" s="556"/>
      <c r="F61" s="556"/>
      <c r="G61" s="551"/>
      <c r="H61" s="31"/>
      <c r="I61" s="31"/>
      <c r="J61" s="31"/>
      <c r="K61" s="31"/>
      <c r="L61" s="31"/>
      <c r="M61" s="31"/>
      <c r="N61" s="536"/>
    </row>
    <row r="62" spans="1:14" s="370" customFormat="1" ht="71" customHeight="1">
      <c r="A62" s="881" t="s">
        <v>373</v>
      </c>
      <c r="B62" s="882"/>
      <c r="C62" s="882"/>
      <c r="D62" s="882"/>
      <c r="E62" s="882"/>
      <c r="F62" s="883"/>
      <c r="G62" s="551"/>
      <c r="H62" s="31"/>
      <c r="I62" s="31"/>
      <c r="J62" s="31"/>
      <c r="K62" s="31"/>
      <c r="L62" s="31"/>
      <c r="M62" s="31"/>
      <c r="N62" s="536"/>
    </row>
    <row r="63" spans="1:14" s="370" customFormat="1">
      <c r="A63" s="562"/>
      <c r="B63" s="556"/>
      <c r="C63" s="722"/>
      <c r="D63" s="556"/>
      <c r="E63" s="556"/>
      <c r="F63" s="556"/>
      <c r="G63" s="551"/>
      <c r="H63" s="31"/>
      <c r="I63" s="31"/>
      <c r="J63" s="31"/>
      <c r="K63" s="31"/>
      <c r="L63" s="31"/>
      <c r="M63" s="31"/>
      <c r="N63" s="536"/>
    </row>
    <row r="64" spans="1:14" s="370" customFormat="1">
      <c r="A64" s="879" t="s">
        <v>1020</v>
      </c>
      <c r="B64" s="880"/>
      <c r="C64" s="880"/>
      <c r="D64" s="880"/>
      <c r="E64" s="880"/>
      <c r="F64" s="880"/>
      <c r="G64" s="551"/>
      <c r="H64" s="31"/>
      <c r="I64" s="31"/>
      <c r="J64" s="31"/>
      <c r="K64" s="31"/>
      <c r="L64" s="31"/>
      <c r="M64" s="31"/>
      <c r="N64" s="536"/>
    </row>
    <row r="65" spans="1:14" s="370" customFormat="1">
      <c r="A65" s="898" t="s">
        <v>1021</v>
      </c>
      <c r="B65" s="899"/>
      <c r="C65" s="899"/>
      <c r="D65" s="899"/>
      <c r="E65" s="899"/>
      <c r="F65" s="899"/>
      <c r="G65" s="551"/>
      <c r="H65" s="31"/>
      <c r="I65" s="31"/>
      <c r="J65" s="31"/>
      <c r="K65" s="31"/>
      <c r="L65" s="31"/>
      <c r="M65" s="31"/>
      <c r="N65" s="536"/>
    </row>
    <row r="66" spans="1:14" s="370" customFormat="1" ht="58.5" customHeight="1">
      <c r="A66" s="881" t="s">
        <v>1134</v>
      </c>
      <c r="B66" s="882"/>
      <c r="C66" s="882"/>
      <c r="D66" s="882"/>
      <c r="E66" s="882"/>
      <c r="F66" s="883"/>
      <c r="G66" s="551"/>
      <c r="H66" s="31"/>
      <c r="I66" s="31"/>
      <c r="J66" s="31"/>
      <c r="K66" s="31"/>
      <c r="L66" s="31"/>
      <c r="M66" s="31"/>
      <c r="N66" s="536"/>
    </row>
    <row r="67" spans="1:14" s="370" customFormat="1">
      <c r="A67" s="565"/>
      <c r="B67" s="556"/>
      <c r="C67" s="722"/>
      <c r="D67" s="556"/>
      <c r="E67" s="556"/>
      <c r="F67" s="556"/>
      <c r="G67" s="551"/>
      <c r="H67" s="31"/>
      <c r="I67" s="31"/>
      <c r="J67" s="31"/>
      <c r="K67" s="31"/>
      <c r="L67" s="31"/>
      <c r="M67" s="31"/>
      <c r="N67" s="536"/>
    </row>
    <row r="68" spans="1:14" s="370" customFormat="1">
      <c r="A68" s="879" t="s">
        <v>264</v>
      </c>
      <c r="B68" s="880"/>
      <c r="C68" s="880"/>
      <c r="D68" s="880"/>
      <c r="E68" s="880"/>
      <c r="F68" s="556"/>
      <c r="G68" s="551"/>
      <c r="H68" s="31"/>
      <c r="I68" s="31"/>
      <c r="J68" s="31"/>
      <c r="K68" s="31"/>
      <c r="L68" s="31"/>
      <c r="M68" s="31"/>
      <c r="N68" s="536"/>
    </row>
    <row r="69" spans="1:14" s="370" customFormat="1" ht="30.4" customHeight="1">
      <c r="A69" s="900" t="s">
        <v>374</v>
      </c>
      <c r="B69" s="901"/>
      <c r="C69" s="901"/>
      <c r="D69" s="901"/>
      <c r="E69" s="901"/>
      <c r="F69" s="902"/>
      <c r="G69" s="551"/>
      <c r="H69" s="31"/>
      <c r="I69" s="31"/>
      <c r="J69" s="31"/>
      <c r="K69" s="31"/>
      <c r="L69" s="31"/>
      <c r="M69" s="31"/>
      <c r="N69" s="536"/>
    </row>
    <row r="70" spans="1:14" s="370" customFormat="1">
      <c r="A70" s="562"/>
      <c r="B70" s="556"/>
      <c r="C70" s="722"/>
      <c r="D70" s="556"/>
      <c r="E70" s="556"/>
      <c r="F70" s="556"/>
      <c r="G70" s="551"/>
      <c r="H70" s="31"/>
      <c r="I70" s="31"/>
      <c r="J70" s="31"/>
      <c r="K70" s="31"/>
      <c r="L70" s="31"/>
      <c r="M70" s="31"/>
      <c r="N70" s="536"/>
    </row>
    <row r="71" spans="1:14" s="370" customFormat="1">
      <c r="A71" s="565" t="s">
        <v>265</v>
      </c>
      <c r="B71" s="556"/>
      <c r="C71" s="722"/>
      <c r="D71" s="556"/>
      <c r="E71" s="556"/>
      <c r="F71" s="556"/>
      <c r="G71" s="551"/>
      <c r="H71" s="31"/>
      <c r="I71" s="31"/>
      <c r="J71" s="31"/>
      <c r="K71" s="31"/>
      <c r="L71" s="31"/>
      <c r="M71" s="31"/>
      <c r="N71" s="536"/>
    </row>
    <row r="72" spans="1:14" s="370" customFormat="1">
      <c r="A72" s="566" t="s">
        <v>266</v>
      </c>
      <c r="B72" s="556"/>
      <c r="C72" s="722"/>
      <c r="D72" s="556"/>
      <c r="E72" s="556"/>
      <c r="F72" s="556"/>
      <c r="G72" s="551"/>
      <c r="H72" s="31"/>
      <c r="I72" s="31"/>
      <c r="J72" s="31"/>
      <c r="K72" s="31"/>
      <c r="L72" s="31"/>
      <c r="M72" s="31"/>
      <c r="N72" s="536"/>
    </row>
    <row r="73" spans="1:14" s="370" customFormat="1" ht="26.25" customHeight="1">
      <c r="A73" s="892" t="s">
        <v>1030</v>
      </c>
      <c r="B73" s="893"/>
      <c r="C73" s="893"/>
      <c r="D73" s="893"/>
      <c r="E73" s="893"/>
      <c r="F73" s="893"/>
      <c r="G73" s="551"/>
      <c r="H73" s="31"/>
      <c r="I73" s="31"/>
      <c r="J73" s="31"/>
      <c r="K73" s="31"/>
      <c r="L73" s="31"/>
      <c r="M73" s="31"/>
      <c r="N73" s="536"/>
    </row>
    <row r="74" spans="1:14" s="370" customFormat="1" ht="26.25" customHeight="1">
      <c r="A74" s="881" t="s">
        <v>375</v>
      </c>
      <c r="B74" s="882"/>
      <c r="C74" s="882"/>
      <c r="D74" s="882"/>
      <c r="E74" s="882"/>
      <c r="F74" s="883"/>
      <c r="G74" s="551"/>
      <c r="H74" s="31"/>
      <c r="I74" s="31"/>
      <c r="J74" s="31"/>
      <c r="K74" s="31"/>
      <c r="L74" s="31"/>
      <c r="M74" s="31"/>
      <c r="N74" s="536"/>
    </row>
    <row r="75" spans="1:14" s="370" customFormat="1">
      <c r="A75" s="894"/>
      <c r="B75" s="895"/>
      <c r="C75" s="895"/>
      <c r="D75" s="895"/>
      <c r="E75" s="895"/>
      <c r="F75" s="895"/>
      <c r="G75" s="551"/>
      <c r="H75" s="31"/>
      <c r="I75" s="31"/>
      <c r="J75" s="31"/>
      <c r="K75" s="31"/>
      <c r="L75" s="31"/>
      <c r="M75" s="31"/>
      <c r="N75" s="536"/>
    </row>
    <row r="76" spans="1:14" s="370" customFormat="1">
      <c r="A76" s="566" t="s">
        <v>268</v>
      </c>
      <c r="B76" s="556"/>
      <c r="C76" s="722"/>
      <c r="D76" s="556"/>
      <c r="E76" s="556"/>
      <c r="F76" s="556"/>
      <c r="G76" s="551"/>
      <c r="H76" s="31"/>
      <c r="I76" s="31"/>
      <c r="J76" s="31"/>
      <c r="K76" s="31"/>
      <c r="L76" s="31"/>
      <c r="M76" s="31"/>
      <c r="N76" s="536"/>
    </row>
    <row r="77" spans="1:14" s="370" customFormat="1" ht="41.5" customHeight="1">
      <c r="A77" s="896" t="s">
        <v>269</v>
      </c>
      <c r="B77" s="897"/>
      <c r="C77" s="897"/>
      <c r="D77" s="897"/>
      <c r="E77" s="897"/>
      <c r="F77" s="897"/>
      <c r="G77" s="551"/>
      <c r="H77" s="31"/>
      <c r="I77" s="31"/>
      <c r="J77" s="31"/>
      <c r="K77" s="31"/>
      <c r="L77" s="31"/>
      <c r="M77" s="31"/>
      <c r="N77" s="536"/>
    </row>
    <row r="78" spans="1:14" s="370" customFormat="1" ht="30.75" customHeight="1">
      <c r="A78" s="889" t="s">
        <v>376</v>
      </c>
      <c r="B78" s="890"/>
      <c r="C78" s="890"/>
      <c r="D78" s="890"/>
      <c r="E78" s="890"/>
      <c r="F78" s="891"/>
      <c r="G78" s="551"/>
      <c r="H78" s="31"/>
      <c r="I78" s="31"/>
      <c r="J78" s="31"/>
      <c r="K78" s="31"/>
      <c r="L78" s="31"/>
      <c r="M78" s="31"/>
      <c r="N78" s="536"/>
    </row>
    <row r="79" spans="1:14" s="370" customFormat="1" ht="15" thickBot="1">
      <c r="A79" s="567"/>
      <c r="B79" s="568"/>
      <c r="C79" s="569"/>
      <c r="D79" s="568"/>
      <c r="E79" s="568"/>
      <c r="F79" s="568"/>
      <c r="G79" s="570"/>
      <c r="H79" s="31"/>
      <c r="I79" s="31"/>
      <c r="J79" s="31"/>
      <c r="K79" s="31"/>
      <c r="L79" s="31"/>
      <c r="M79" s="31"/>
      <c r="N79" s="536"/>
    </row>
    <row r="80" spans="1:14" s="370" customFormat="1">
      <c r="A80" s="31"/>
      <c r="B80" s="31"/>
      <c r="C80" s="32"/>
      <c r="D80" s="31"/>
      <c r="E80" s="31"/>
      <c r="F80" s="31"/>
      <c r="G80" s="31"/>
      <c r="H80" s="31"/>
      <c r="I80" s="31"/>
      <c r="J80" s="31"/>
      <c r="K80" s="31"/>
      <c r="L80" s="31"/>
      <c r="M80" s="31"/>
      <c r="N80" s="536"/>
    </row>
    <row r="81" spans="1:14" s="370" customFormat="1">
      <c r="A81" s="31"/>
      <c r="B81" s="31"/>
      <c r="C81" s="32"/>
      <c r="D81" s="31"/>
      <c r="E81" s="31"/>
      <c r="F81" s="31"/>
      <c r="G81" s="31"/>
      <c r="H81" s="31"/>
      <c r="I81" s="31"/>
      <c r="J81" s="31"/>
      <c r="K81" s="31"/>
      <c r="L81" s="31"/>
      <c r="M81" s="31"/>
      <c r="N81" s="536"/>
    </row>
    <row r="82" spans="1:14" s="370" customFormat="1">
      <c r="A82" s="31"/>
      <c r="B82" s="31"/>
      <c r="C82" s="32"/>
      <c r="D82" s="31"/>
      <c r="E82" s="31"/>
      <c r="F82" s="31"/>
      <c r="G82" s="31"/>
      <c r="H82" s="31"/>
      <c r="I82" s="31"/>
      <c r="J82" s="31"/>
      <c r="K82" s="31"/>
      <c r="L82" s="31"/>
      <c r="M82" s="31"/>
      <c r="N82" s="536"/>
    </row>
    <row r="83" spans="1:14" s="370" customFormat="1">
      <c r="A83" s="31"/>
      <c r="B83" s="31"/>
      <c r="C83" s="32"/>
      <c r="D83" s="31"/>
      <c r="E83" s="31"/>
      <c r="F83" s="31"/>
      <c r="G83" s="31"/>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A85" s="31"/>
      <c r="B85" s="31"/>
      <c r="C85" s="32"/>
      <c r="D85" s="31"/>
      <c r="E85" s="31"/>
      <c r="F85" s="31"/>
      <c r="G85" s="31"/>
      <c r="H85" s="31"/>
      <c r="I85" s="31"/>
      <c r="J85" s="31"/>
      <c r="K85" s="31"/>
      <c r="L85" s="31"/>
      <c r="M85" s="31"/>
      <c r="N85" s="536"/>
    </row>
    <row r="86" spans="1:14" s="370" customFormat="1">
      <c r="A86" s="31"/>
      <c r="B86" s="31"/>
      <c r="C86" s="32"/>
      <c r="D86" s="31"/>
      <c r="E86" s="31"/>
      <c r="F86" s="31"/>
      <c r="G86" s="31"/>
      <c r="H86" s="31"/>
      <c r="I86" s="31"/>
      <c r="J86" s="31"/>
      <c r="K86" s="31"/>
      <c r="L86" s="31"/>
      <c r="M86" s="31"/>
      <c r="N86" s="536"/>
    </row>
    <row r="87" spans="1:14" s="370" customFormat="1">
      <c r="A87" s="31"/>
      <c r="B87" s="31"/>
      <c r="C87" s="32"/>
      <c r="D87" s="31"/>
      <c r="E87" s="31"/>
      <c r="F87" s="31"/>
      <c r="G87" s="31"/>
      <c r="H87" s="31"/>
      <c r="I87" s="31"/>
      <c r="J87" s="31"/>
      <c r="K87" s="31"/>
      <c r="L87" s="31"/>
      <c r="M87" s="31"/>
      <c r="N87" s="536"/>
    </row>
    <row r="88" spans="1:14" s="370" customFormat="1">
      <c r="A88" s="31"/>
      <c r="B88" s="31"/>
      <c r="C88" s="32"/>
      <c r="D88" s="31"/>
      <c r="E88" s="31"/>
      <c r="F88" s="31"/>
      <c r="G88" s="31"/>
      <c r="H88" s="31"/>
      <c r="I88" s="31"/>
      <c r="J88" s="31"/>
      <c r="K88" s="31"/>
      <c r="L88" s="31"/>
      <c r="M88" s="31"/>
      <c r="N88" s="536"/>
    </row>
    <row r="89" spans="1:14" s="370" customFormat="1">
      <c r="A89" s="31"/>
      <c r="B89" s="31"/>
      <c r="C89" s="32"/>
      <c r="D89" s="31"/>
      <c r="E89" s="31"/>
      <c r="F89" s="31"/>
      <c r="G89" s="31"/>
      <c r="H89" s="31"/>
      <c r="I89" s="31"/>
      <c r="J89" s="31"/>
      <c r="K89" s="31"/>
      <c r="L89" s="31"/>
      <c r="M89" s="31"/>
      <c r="N89" s="536"/>
    </row>
    <row r="90" spans="1:14" s="370" customFormat="1">
      <c r="A90" s="31"/>
      <c r="B90" s="31"/>
      <c r="C90" s="32"/>
      <c r="D90" s="31"/>
      <c r="E90" s="31"/>
      <c r="F90" s="31"/>
      <c r="G90" s="31"/>
      <c r="H90" s="31"/>
      <c r="I90" s="31"/>
      <c r="J90" s="31"/>
      <c r="K90" s="31"/>
      <c r="L90" s="31"/>
      <c r="M90" s="31"/>
      <c r="N90" s="536"/>
    </row>
    <row r="91" spans="1:14" s="370" customFormat="1">
      <c r="A91" s="31"/>
      <c r="B91" s="31"/>
      <c r="C91" s="32"/>
      <c r="D91" s="31"/>
      <c r="E91" s="31"/>
      <c r="F91" s="31"/>
      <c r="G91" s="31"/>
      <c r="H91" s="31"/>
      <c r="I91" s="31"/>
      <c r="J91" s="31"/>
      <c r="K91" s="31"/>
      <c r="L91" s="31"/>
      <c r="M91" s="31"/>
      <c r="N91" s="536"/>
    </row>
    <row r="92" spans="1:14" s="370" customFormat="1">
      <c r="A92" s="31"/>
      <c r="B92" s="31"/>
      <c r="C92" s="32"/>
      <c r="D92" s="31"/>
      <c r="E92" s="31"/>
      <c r="F92" s="31"/>
      <c r="G92" s="31"/>
      <c r="H92" s="31"/>
      <c r="I92" s="31"/>
      <c r="J92" s="31"/>
      <c r="K92" s="31"/>
      <c r="L92" s="31"/>
      <c r="M92" s="31"/>
      <c r="N92" s="536"/>
    </row>
    <row r="93" spans="1:14" s="370" customFormat="1">
      <c r="A93" s="31"/>
      <c r="B93" s="31"/>
      <c r="C93" s="32"/>
      <c r="D93" s="31"/>
      <c r="E93" s="31"/>
      <c r="F93" s="31"/>
      <c r="G93" s="31"/>
      <c r="H93" s="31"/>
      <c r="I93" s="31"/>
      <c r="J93" s="31"/>
      <c r="K93" s="31"/>
      <c r="L93" s="31"/>
      <c r="M93" s="31"/>
      <c r="N93" s="536"/>
    </row>
    <row r="94" spans="1:14" s="370" customFormat="1">
      <c r="A94" s="31"/>
      <c r="B94" s="31"/>
      <c r="C94" s="32"/>
      <c r="D94" s="31"/>
      <c r="E94" s="31"/>
      <c r="F94" s="31"/>
      <c r="G94" s="31"/>
      <c r="H94" s="31"/>
      <c r="I94" s="31"/>
      <c r="J94" s="31"/>
      <c r="K94" s="31"/>
      <c r="L94" s="31"/>
      <c r="M94" s="31"/>
      <c r="N94" s="536"/>
    </row>
    <row r="95" spans="1:14" s="370" customFormat="1">
      <c r="A95" s="31"/>
      <c r="B95" s="31"/>
      <c r="C95" s="32"/>
      <c r="D95" s="31"/>
      <c r="E95" s="31"/>
      <c r="F95" s="31"/>
      <c r="G95" s="31"/>
      <c r="H95" s="31"/>
      <c r="I95" s="31"/>
      <c r="J95" s="31"/>
      <c r="K95" s="31"/>
      <c r="L95" s="31"/>
      <c r="M95" s="31"/>
      <c r="N95" s="536"/>
    </row>
    <row r="96" spans="1:14" s="370" customFormat="1">
      <c r="A96" s="31"/>
      <c r="B96" s="31"/>
      <c r="C96" s="32"/>
      <c r="D96" s="31"/>
      <c r="E96" s="31"/>
      <c r="F96" s="31"/>
      <c r="G96" s="31"/>
      <c r="H96" s="31"/>
      <c r="I96" s="31"/>
      <c r="J96" s="31"/>
      <c r="K96" s="31"/>
      <c r="L96" s="31"/>
      <c r="M96" s="31"/>
      <c r="N96" s="536"/>
    </row>
    <row r="97" spans="1:14" s="370" customFormat="1">
      <c r="A97" s="31"/>
      <c r="B97" s="31"/>
      <c r="C97" s="32"/>
      <c r="D97" s="31"/>
      <c r="E97" s="31"/>
      <c r="F97" s="31"/>
      <c r="G97" s="31"/>
      <c r="H97" s="31"/>
      <c r="I97" s="31"/>
      <c r="J97" s="31"/>
      <c r="K97" s="31"/>
      <c r="L97" s="31"/>
      <c r="M97" s="31"/>
      <c r="N97" s="536"/>
    </row>
  </sheetData>
  <mergeCells count="18">
    <mergeCell ref="A75:F75"/>
    <mergeCell ref="A77:F77"/>
    <mergeCell ref="A78:F78"/>
    <mergeCell ref="A66:F66"/>
    <mergeCell ref="A68:E68"/>
    <mergeCell ref="A69:F69"/>
    <mergeCell ref="A73:F73"/>
    <mergeCell ref="A74:F74"/>
    <mergeCell ref="A58:F58"/>
    <mergeCell ref="A59:F59"/>
    <mergeCell ref="A62:F62"/>
    <mergeCell ref="A64:F64"/>
    <mergeCell ref="A65:F65"/>
    <mergeCell ref="A1:N1"/>
    <mergeCell ref="A50:F50"/>
    <mergeCell ref="A51:F51"/>
    <mergeCell ref="A52:B52"/>
    <mergeCell ref="N43:N50"/>
  </mergeCells>
  <printOptions horizontalCentered="1"/>
  <pageMargins left="0.2" right="0.2" top="0.75" bottom="0.75" header="0.3" footer="0.3"/>
  <pageSetup scale="69" orientation="landscape" r:id="rId1"/>
  <headerFooter>
    <oddHeader xml:space="preserve">&amp;CDRAFT NOT FOR DISTRIBUTION, INTERNAL USE ONLY
</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5557A-93AD-43DF-8D5D-478AE5B43DF9}">
  <sheetPr>
    <tabColor theme="7" tint="-0.249977111117893"/>
  </sheetPr>
  <dimension ref="A1:O94"/>
  <sheetViews>
    <sheetView workbookViewId="0">
      <selection sqref="A1:N1"/>
    </sheetView>
  </sheetViews>
  <sheetFormatPr defaultColWidth="8.81640625" defaultRowHeight="14.5"/>
  <cols>
    <col min="1" max="1" width="39.54296875" style="370" customWidth="1"/>
    <col min="2" max="2" width="16" style="370" customWidth="1"/>
    <col min="3" max="3" width="7.7265625" style="723" customWidth="1"/>
    <col min="4" max="4" width="8.7265625" style="370" customWidth="1"/>
    <col min="5" max="5" width="10.7265625" style="370" customWidth="1"/>
    <col min="6" max="6" width="11" style="370" customWidth="1"/>
    <col min="7" max="8" width="9.54296875" style="370" customWidth="1"/>
    <col min="9" max="9" width="7.1796875" style="370" customWidth="1"/>
    <col min="10" max="10" width="9.54296875" style="370" bestFit="1" customWidth="1"/>
    <col min="11" max="11" width="7.7265625" style="370" customWidth="1"/>
    <col min="12" max="12" width="9.7265625" style="370" customWidth="1"/>
    <col min="13" max="13" width="9.1796875" style="370" customWidth="1"/>
    <col min="14" max="14" width="34.81640625" style="370" customWidth="1"/>
    <col min="15" max="16384" width="8.81640625" style="370"/>
  </cols>
  <sheetData>
    <row r="1" spans="1:14" ht="15.5">
      <c r="A1" s="854" t="s">
        <v>359</v>
      </c>
      <c r="B1" s="854"/>
      <c r="C1" s="854"/>
      <c r="D1" s="854"/>
      <c r="E1" s="854"/>
      <c r="F1" s="854"/>
      <c r="G1" s="854"/>
      <c r="H1" s="854"/>
      <c r="I1" s="854"/>
      <c r="J1" s="854"/>
      <c r="K1" s="854"/>
      <c r="L1" s="854"/>
      <c r="M1" s="854"/>
      <c r="N1" s="854"/>
    </row>
    <row r="2" spans="1:14" ht="26">
      <c r="A2" s="702" t="s">
        <v>885</v>
      </c>
    </row>
    <row r="3" spans="1:14">
      <c r="A3" s="732" t="s">
        <v>1227</v>
      </c>
      <c r="F3" s="451" t="s">
        <v>210</v>
      </c>
    </row>
    <row r="4" spans="1:14">
      <c r="A4" s="506" t="s">
        <v>1139</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29">
      <c r="A7" s="57" t="s">
        <v>360</v>
      </c>
      <c r="B7" s="57" t="s">
        <v>882</v>
      </c>
      <c r="C7" s="607" t="s">
        <v>218</v>
      </c>
      <c r="D7" s="38">
        <v>2</v>
      </c>
      <c r="E7" s="258">
        <v>382</v>
      </c>
      <c r="F7" s="303">
        <f t="shared" ref="F7:F10" si="0">SUM(G7:M7)</f>
        <v>382</v>
      </c>
      <c r="G7" s="304">
        <v>0</v>
      </c>
      <c r="H7" s="304">
        <v>382</v>
      </c>
      <c r="I7" s="304">
        <v>0</v>
      </c>
      <c r="J7" s="304">
        <v>0</v>
      </c>
      <c r="K7" s="304">
        <v>0</v>
      </c>
      <c r="L7" s="304">
        <v>0</v>
      </c>
      <c r="M7" s="305">
        <v>0</v>
      </c>
      <c r="N7" s="318" t="s">
        <v>1135</v>
      </c>
    </row>
    <row r="8" spans="1:14" ht="30.5" customHeight="1">
      <c r="A8" s="57" t="s">
        <v>360</v>
      </c>
      <c r="B8" s="57" t="s">
        <v>882</v>
      </c>
      <c r="C8" s="607" t="s">
        <v>218</v>
      </c>
      <c r="D8" s="39">
        <v>1</v>
      </c>
      <c r="E8" s="258">
        <v>0</v>
      </c>
      <c r="F8" s="303">
        <f t="shared" si="0"/>
        <v>0</v>
      </c>
      <c r="G8" s="304">
        <v>0</v>
      </c>
      <c r="H8" s="304">
        <v>0</v>
      </c>
      <c r="I8" s="304">
        <v>0</v>
      </c>
      <c r="J8" s="304">
        <v>0</v>
      </c>
      <c r="K8" s="304">
        <v>0</v>
      </c>
      <c r="L8" s="304">
        <v>0</v>
      </c>
      <c r="M8" s="305">
        <v>0</v>
      </c>
      <c r="N8" s="318"/>
    </row>
    <row r="9" spans="1:14" ht="15" customHeight="1">
      <c r="A9" s="57" t="s">
        <v>360</v>
      </c>
      <c r="B9" s="530" t="s">
        <v>882</v>
      </c>
      <c r="C9" s="607" t="s">
        <v>218</v>
      </c>
      <c r="D9" s="39"/>
      <c r="E9" s="258">
        <v>0</v>
      </c>
      <c r="F9" s="303">
        <f t="shared" si="0"/>
        <v>0</v>
      </c>
      <c r="G9" s="304">
        <v>0</v>
      </c>
      <c r="H9" s="304">
        <v>0</v>
      </c>
      <c r="I9" s="304">
        <v>0</v>
      </c>
      <c r="J9" s="304">
        <v>0</v>
      </c>
      <c r="K9" s="304">
        <v>0</v>
      </c>
      <c r="L9" s="304">
        <v>0</v>
      </c>
      <c r="M9" s="305">
        <v>0</v>
      </c>
      <c r="N9" s="318"/>
    </row>
    <row r="10" spans="1:14" ht="15" customHeight="1">
      <c r="A10" s="57" t="s">
        <v>360</v>
      </c>
      <c r="B10" s="530" t="s">
        <v>882</v>
      </c>
      <c r="C10" s="607" t="s">
        <v>218</v>
      </c>
      <c r="D10" s="39"/>
      <c r="E10" s="258">
        <v>0</v>
      </c>
      <c r="F10" s="303">
        <f t="shared" si="0"/>
        <v>0</v>
      </c>
      <c r="G10" s="304">
        <v>0</v>
      </c>
      <c r="H10" s="304">
        <v>0</v>
      </c>
      <c r="I10" s="304">
        <v>0</v>
      </c>
      <c r="J10" s="304">
        <v>0</v>
      </c>
      <c r="K10" s="304">
        <v>0</v>
      </c>
      <c r="L10" s="304">
        <v>0</v>
      </c>
      <c r="M10" s="305">
        <v>0</v>
      </c>
      <c r="N10" s="318"/>
    </row>
    <row r="11" spans="1:14">
      <c r="A11" s="57" t="s">
        <v>217</v>
      </c>
      <c r="B11" s="57"/>
      <c r="C11" s="607" t="s">
        <v>218</v>
      </c>
      <c r="D11" s="39"/>
      <c r="E11" s="258">
        <v>0</v>
      </c>
      <c r="F11" s="303">
        <f t="shared" ref="F11:F15" si="1">SUM(G11:M11)</f>
        <v>0</v>
      </c>
      <c r="G11" s="304">
        <v>0</v>
      </c>
      <c r="H11" s="304">
        <v>0</v>
      </c>
      <c r="I11" s="304">
        <v>0</v>
      </c>
      <c r="J11" s="304">
        <v>0</v>
      </c>
      <c r="K11" s="304">
        <v>0</v>
      </c>
      <c r="L11" s="304">
        <v>0</v>
      </c>
      <c r="M11" s="305">
        <v>0</v>
      </c>
      <c r="N11" s="318"/>
    </row>
    <row r="12" spans="1:14" ht="15" customHeight="1">
      <c r="A12" s="57" t="s">
        <v>217</v>
      </c>
      <c r="B12" s="530"/>
      <c r="C12" s="607" t="s">
        <v>218</v>
      </c>
      <c r="D12" s="39"/>
      <c r="E12" s="258">
        <v>0</v>
      </c>
      <c r="F12" s="303">
        <f t="shared" si="1"/>
        <v>0</v>
      </c>
      <c r="G12" s="304">
        <v>0</v>
      </c>
      <c r="H12" s="304">
        <v>0</v>
      </c>
      <c r="I12" s="304">
        <v>0</v>
      </c>
      <c r="J12" s="304">
        <v>0</v>
      </c>
      <c r="K12" s="304">
        <v>0</v>
      </c>
      <c r="L12" s="304">
        <v>0</v>
      </c>
      <c r="M12" s="305">
        <v>0</v>
      </c>
      <c r="N12" s="348"/>
    </row>
    <row r="13" spans="1:14">
      <c r="A13" s="57" t="s">
        <v>217</v>
      </c>
      <c r="B13" s="530"/>
      <c r="C13" s="607" t="s">
        <v>218</v>
      </c>
      <c r="D13" s="39"/>
      <c r="E13" s="258">
        <v>0</v>
      </c>
      <c r="F13" s="303">
        <f t="shared" si="1"/>
        <v>0</v>
      </c>
      <c r="G13" s="304">
        <v>0</v>
      </c>
      <c r="H13" s="304">
        <v>0</v>
      </c>
      <c r="I13" s="304">
        <v>0</v>
      </c>
      <c r="J13" s="304">
        <v>0</v>
      </c>
      <c r="K13" s="304">
        <v>0</v>
      </c>
      <c r="L13" s="304">
        <v>0</v>
      </c>
      <c r="M13" s="305">
        <v>0</v>
      </c>
      <c r="N13" s="348"/>
    </row>
    <row r="14" spans="1:14">
      <c r="A14" s="57" t="s">
        <v>217</v>
      </c>
      <c r="B14" s="530"/>
      <c r="C14" s="607" t="s">
        <v>218</v>
      </c>
      <c r="D14" s="39"/>
      <c r="E14" s="258">
        <v>0</v>
      </c>
      <c r="F14" s="303">
        <f t="shared" si="1"/>
        <v>0</v>
      </c>
      <c r="G14" s="304">
        <v>0</v>
      </c>
      <c r="H14" s="304">
        <v>0</v>
      </c>
      <c r="I14" s="304">
        <v>0</v>
      </c>
      <c r="J14" s="304">
        <v>0</v>
      </c>
      <c r="K14" s="304">
        <v>0</v>
      </c>
      <c r="L14" s="304">
        <v>0</v>
      </c>
      <c r="M14" s="305">
        <v>0</v>
      </c>
      <c r="N14" s="348"/>
    </row>
    <row r="15" spans="1:14">
      <c r="A15" s="57" t="s">
        <v>217</v>
      </c>
      <c r="B15" s="601"/>
      <c r="C15" s="607" t="s">
        <v>218</v>
      </c>
      <c r="D15" s="39"/>
      <c r="E15" s="258">
        <v>0</v>
      </c>
      <c r="F15" s="303">
        <f t="shared" si="1"/>
        <v>0</v>
      </c>
      <c r="G15" s="304">
        <v>0</v>
      </c>
      <c r="H15" s="304">
        <v>0</v>
      </c>
      <c r="I15" s="304">
        <v>0</v>
      </c>
      <c r="J15" s="304">
        <v>0</v>
      </c>
      <c r="K15" s="304">
        <v>0</v>
      </c>
      <c r="L15" s="304">
        <v>0</v>
      </c>
      <c r="M15" s="305">
        <v>0</v>
      </c>
      <c r="N15" s="348"/>
    </row>
    <row r="16" spans="1:14">
      <c r="A16" s="622" t="s">
        <v>219</v>
      </c>
      <c r="B16" s="601"/>
      <c r="C16" s="621"/>
      <c r="D16" s="41">
        <f t="shared" ref="D16:M16" si="2">SUM(D7:D15)</f>
        <v>3</v>
      </c>
      <c r="E16" s="42">
        <f>SUM(E7:E15)</f>
        <v>382</v>
      </c>
      <c r="F16" s="43">
        <f t="shared" si="2"/>
        <v>382</v>
      </c>
      <c r="G16" s="43">
        <f t="shared" si="2"/>
        <v>0</v>
      </c>
      <c r="H16" s="43">
        <f t="shared" si="2"/>
        <v>382</v>
      </c>
      <c r="I16" s="43">
        <f t="shared" si="2"/>
        <v>0</v>
      </c>
      <c r="J16" s="43">
        <f t="shared" si="2"/>
        <v>0</v>
      </c>
      <c r="K16" s="43">
        <f t="shared" si="2"/>
        <v>0</v>
      </c>
      <c r="L16" s="43">
        <f t="shared" si="2"/>
        <v>0</v>
      </c>
      <c r="M16" s="43">
        <f t="shared" si="2"/>
        <v>0</v>
      </c>
      <c r="N16" s="249"/>
    </row>
    <row r="17" spans="1:14">
      <c r="A17" s="67" t="s">
        <v>220</v>
      </c>
      <c r="B17" s="68"/>
      <c r="C17" s="69"/>
      <c r="D17" s="68"/>
      <c r="E17" s="68"/>
      <c r="F17" s="70"/>
      <c r="G17" s="70"/>
      <c r="H17" s="70"/>
      <c r="I17" s="70"/>
      <c r="J17" s="70"/>
      <c r="K17" s="70"/>
      <c r="L17" s="70"/>
      <c r="M17" s="70"/>
      <c r="N17" s="70"/>
    </row>
    <row r="18" spans="1:14" ht="125.5" customHeight="1">
      <c r="A18" s="530" t="s">
        <v>278</v>
      </c>
      <c r="B18" s="530"/>
      <c r="C18" s="597">
        <v>253</v>
      </c>
      <c r="D18" s="45"/>
      <c r="E18" s="258"/>
      <c r="F18" s="350"/>
      <c r="G18" s="304">
        <v>0</v>
      </c>
      <c r="H18" s="304">
        <v>0</v>
      </c>
      <c r="I18" s="304">
        <v>0</v>
      </c>
      <c r="J18" s="155"/>
      <c r="K18" s="304">
        <v>0</v>
      </c>
      <c r="L18" s="304">
        <v>0</v>
      </c>
      <c r="M18" s="305">
        <v>0</v>
      </c>
      <c r="N18" s="318"/>
    </row>
    <row r="19" spans="1:14">
      <c r="A19" s="530" t="s">
        <v>278</v>
      </c>
      <c r="B19" s="530"/>
      <c r="C19" s="597">
        <v>253</v>
      </c>
      <c r="D19" s="45"/>
      <c r="E19" s="258">
        <v>0</v>
      </c>
      <c r="F19" s="350">
        <f>SUM(G19:M19)</f>
        <v>0</v>
      </c>
      <c r="G19" s="304">
        <v>0</v>
      </c>
      <c r="H19" s="304">
        <v>0</v>
      </c>
      <c r="I19" s="304">
        <v>0</v>
      </c>
      <c r="J19" s="304">
        <v>0</v>
      </c>
      <c r="K19" s="304">
        <v>0</v>
      </c>
      <c r="L19" s="304">
        <v>0</v>
      </c>
      <c r="M19" s="305">
        <v>0</v>
      </c>
      <c r="N19" s="318"/>
    </row>
    <row r="20" spans="1:14">
      <c r="A20" s="530" t="s">
        <v>278</v>
      </c>
      <c r="B20" s="530"/>
      <c r="C20" s="597">
        <v>253</v>
      </c>
      <c r="D20" s="262"/>
      <c r="E20" s="258">
        <v>0</v>
      </c>
      <c r="F20" s="350">
        <f>SUM(G20:M20)</f>
        <v>0</v>
      </c>
      <c r="G20" s="304">
        <v>0</v>
      </c>
      <c r="H20" s="304">
        <v>0</v>
      </c>
      <c r="I20" s="304">
        <v>0</v>
      </c>
      <c r="J20" s="304">
        <v>0</v>
      </c>
      <c r="K20" s="304">
        <v>0</v>
      </c>
      <c r="L20" s="304">
        <v>0</v>
      </c>
      <c r="M20" s="305">
        <v>0</v>
      </c>
      <c r="N20" s="348"/>
    </row>
    <row r="21" spans="1:14">
      <c r="A21" s="530" t="s">
        <v>278</v>
      </c>
      <c r="B21" s="530"/>
      <c r="C21" s="597">
        <v>253</v>
      </c>
      <c r="D21" s="262"/>
      <c r="E21" s="258">
        <v>0</v>
      </c>
      <c r="F21" s="350">
        <f>SUM(G21:M21)</f>
        <v>0</v>
      </c>
      <c r="G21" s="304">
        <v>0</v>
      </c>
      <c r="H21" s="304">
        <v>0</v>
      </c>
      <c r="I21" s="304">
        <v>0</v>
      </c>
      <c r="J21" s="304">
        <v>0</v>
      </c>
      <c r="K21" s="304">
        <v>0</v>
      </c>
      <c r="L21" s="304">
        <v>0</v>
      </c>
      <c r="M21" s="305">
        <v>0</v>
      </c>
      <c r="N21" s="348"/>
    </row>
    <row r="22" spans="1:14">
      <c r="A22" s="622" t="s">
        <v>225</v>
      </c>
      <c r="B22" s="601"/>
      <c r="C22" s="621"/>
      <c r="D22" s="262">
        <f>SUM(D18:D21)</f>
        <v>0</v>
      </c>
      <c r="E22" s="42">
        <f>SUM(E18:E21)</f>
        <v>0</v>
      </c>
      <c r="F22" s="43">
        <f>SUM(F18:F21)</f>
        <v>0</v>
      </c>
      <c r="G22" s="43">
        <f t="shared" ref="G22:M22" si="3">SUM(G18:G21)</f>
        <v>0</v>
      </c>
      <c r="H22" s="43">
        <f t="shared" si="3"/>
        <v>0</v>
      </c>
      <c r="I22" s="43">
        <f t="shared" si="3"/>
        <v>0</v>
      </c>
      <c r="J22" s="43">
        <f t="shared" si="3"/>
        <v>0</v>
      </c>
      <c r="K22" s="43">
        <f t="shared" si="3"/>
        <v>0</v>
      </c>
      <c r="L22" s="43">
        <f t="shared" si="3"/>
        <v>0</v>
      </c>
      <c r="M22" s="43">
        <f t="shared" si="3"/>
        <v>0</v>
      </c>
      <c r="N22" s="348"/>
    </row>
    <row r="23" spans="1:14">
      <c r="A23" s="67" t="s">
        <v>279</v>
      </c>
      <c r="B23" s="68"/>
      <c r="C23" s="69"/>
      <c r="D23" s="68"/>
      <c r="E23" s="68"/>
      <c r="F23" s="70"/>
      <c r="G23" s="70"/>
      <c r="H23" s="70"/>
      <c r="I23" s="70"/>
      <c r="J23" s="70"/>
      <c r="K23" s="70"/>
      <c r="L23" s="70"/>
      <c r="M23" s="70"/>
      <c r="N23" s="70"/>
    </row>
    <row r="24" spans="1:14">
      <c r="A24" s="530" t="s">
        <v>227</v>
      </c>
      <c r="B24" s="57"/>
      <c r="C24" s="607" t="s">
        <v>228</v>
      </c>
      <c r="D24" s="38">
        <v>0</v>
      </c>
      <c r="E24" s="258"/>
      <c r="F24" s="303"/>
      <c r="G24" s="304"/>
      <c r="H24" s="304"/>
      <c r="I24" s="304"/>
      <c r="J24" s="304"/>
      <c r="K24" s="304"/>
      <c r="L24" s="304"/>
      <c r="M24" s="305"/>
      <c r="N24" s="318"/>
    </row>
    <row r="25" spans="1:14">
      <c r="A25" s="530" t="s">
        <v>227</v>
      </c>
      <c r="B25" s="57"/>
      <c r="C25" s="597" t="s">
        <v>228</v>
      </c>
      <c r="D25" s="45"/>
      <c r="E25" s="258"/>
      <c r="F25" s="303"/>
      <c r="G25" s="304"/>
      <c r="H25" s="304"/>
      <c r="I25" s="304"/>
      <c r="J25" s="304"/>
      <c r="K25" s="304"/>
      <c r="L25" s="304"/>
      <c r="M25" s="305"/>
      <c r="N25" s="318"/>
    </row>
    <row r="26" spans="1:14">
      <c r="A26" s="530" t="s">
        <v>229</v>
      </c>
      <c r="B26" s="57"/>
      <c r="C26" s="597" t="s">
        <v>230</v>
      </c>
      <c r="D26" s="45"/>
      <c r="E26" s="258">
        <v>0</v>
      </c>
      <c r="F26" s="303">
        <f>SUM(G26:M26)</f>
        <v>0</v>
      </c>
      <c r="G26" s="304">
        <v>0</v>
      </c>
      <c r="H26" s="304">
        <v>0</v>
      </c>
      <c r="I26" s="304">
        <v>0</v>
      </c>
      <c r="J26" s="304">
        <v>0</v>
      </c>
      <c r="K26" s="304">
        <v>0</v>
      </c>
      <c r="L26" s="304">
        <v>0</v>
      </c>
      <c r="M26" s="305">
        <v>0</v>
      </c>
      <c r="N26" s="318"/>
    </row>
    <row r="27" spans="1:14">
      <c r="A27" s="530" t="s">
        <v>231</v>
      </c>
      <c r="B27" s="57" t="s">
        <v>368</v>
      </c>
      <c r="C27" s="597" t="s">
        <v>232</v>
      </c>
      <c r="D27" s="45"/>
      <c r="E27" s="258"/>
      <c r="F27" s="303"/>
      <c r="G27" s="304"/>
      <c r="H27" s="304"/>
      <c r="I27" s="304"/>
      <c r="J27" s="304"/>
      <c r="K27" s="155"/>
      <c r="L27" s="304"/>
      <c r="M27" s="305"/>
      <c r="N27" s="318"/>
    </row>
    <row r="28" spans="1:14">
      <c r="A28" s="530" t="s">
        <v>233</v>
      </c>
      <c r="B28" s="57"/>
      <c r="C28" s="597" t="s">
        <v>234</v>
      </c>
      <c r="D28" s="45"/>
      <c r="E28" s="258">
        <v>0</v>
      </c>
      <c r="F28" s="303">
        <f t="shared" ref="F28:F36" si="4">SUM(G28:M28)</f>
        <v>0</v>
      </c>
      <c r="G28" s="304">
        <v>0</v>
      </c>
      <c r="H28" s="304">
        <v>0</v>
      </c>
      <c r="I28" s="304">
        <v>0</v>
      </c>
      <c r="J28" s="304">
        <v>0</v>
      </c>
      <c r="K28" s="304">
        <v>0</v>
      </c>
      <c r="L28" s="304">
        <v>0</v>
      </c>
      <c r="M28" s="305">
        <v>0</v>
      </c>
      <c r="N28" s="348"/>
    </row>
    <row r="29" spans="1:14">
      <c r="A29" s="530" t="s">
        <v>235</v>
      </c>
      <c r="B29" s="57"/>
      <c r="C29" s="597">
        <v>251</v>
      </c>
      <c r="D29" s="45"/>
      <c r="E29" s="258">
        <v>0</v>
      </c>
      <c r="F29" s="303">
        <f t="shared" si="4"/>
        <v>0</v>
      </c>
      <c r="G29" s="304"/>
      <c r="H29" s="304"/>
      <c r="I29" s="304"/>
      <c r="J29" s="304"/>
      <c r="K29" s="304"/>
      <c r="L29" s="304">
        <v>0</v>
      </c>
      <c r="M29" s="305"/>
      <c r="N29" s="318"/>
    </row>
    <row r="30" spans="1:14">
      <c r="A30" s="530" t="s">
        <v>242</v>
      </c>
      <c r="B30" s="57"/>
      <c r="C30" s="597">
        <v>252</v>
      </c>
      <c r="D30" s="45"/>
      <c r="E30" s="258">
        <v>0</v>
      </c>
      <c r="F30" s="303">
        <f t="shared" si="4"/>
        <v>0</v>
      </c>
      <c r="G30" s="304">
        <v>0</v>
      </c>
      <c r="H30" s="304">
        <v>0</v>
      </c>
      <c r="I30" s="304">
        <v>0</v>
      </c>
      <c r="J30" s="304">
        <v>0</v>
      </c>
      <c r="K30" s="304">
        <v>0</v>
      </c>
      <c r="L30" s="304">
        <v>0</v>
      </c>
      <c r="M30" s="305">
        <v>0</v>
      </c>
      <c r="N30" s="318"/>
    </row>
    <row r="31" spans="1:14">
      <c r="A31" s="530" t="s">
        <v>243</v>
      </c>
      <c r="B31" s="57"/>
      <c r="C31" s="597">
        <v>252</v>
      </c>
      <c r="D31" s="45"/>
      <c r="E31" s="258">
        <v>0</v>
      </c>
      <c r="F31" s="303">
        <f t="shared" si="4"/>
        <v>0</v>
      </c>
      <c r="G31" s="304">
        <v>0</v>
      </c>
      <c r="H31" s="304">
        <v>0</v>
      </c>
      <c r="I31" s="304">
        <v>0</v>
      </c>
      <c r="J31" s="304">
        <v>0</v>
      </c>
      <c r="K31" s="304">
        <v>0</v>
      </c>
      <c r="L31" s="304">
        <v>0</v>
      </c>
      <c r="M31" s="305">
        <v>0</v>
      </c>
      <c r="N31" s="348"/>
    </row>
    <row r="32" spans="1:14">
      <c r="A32" s="530" t="s">
        <v>244</v>
      </c>
      <c r="B32" s="57"/>
      <c r="C32" s="597">
        <v>253</v>
      </c>
      <c r="D32" s="530"/>
      <c r="E32" s="258">
        <v>0</v>
      </c>
      <c r="F32" s="303">
        <f t="shared" si="4"/>
        <v>0</v>
      </c>
      <c r="G32" s="304">
        <v>0</v>
      </c>
      <c r="H32" s="304">
        <v>0</v>
      </c>
      <c r="I32" s="304">
        <v>0</v>
      </c>
      <c r="J32" s="304">
        <v>0</v>
      </c>
      <c r="K32" s="304">
        <v>0</v>
      </c>
      <c r="L32" s="304">
        <v>0</v>
      </c>
      <c r="M32" s="305">
        <v>0</v>
      </c>
      <c r="N32" s="348"/>
    </row>
    <row r="33" spans="1:15">
      <c r="A33" s="530" t="s">
        <v>245</v>
      </c>
      <c r="B33" s="57"/>
      <c r="C33" s="597">
        <v>255</v>
      </c>
      <c r="D33" s="530"/>
      <c r="E33" s="258">
        <v>0</v>
      </c>
      <c r="F33" s="303">
        <f t="shared" si="4"/>
        <v>0</v>
      </c>
      <c r="G33" s="304">
        <v>0</v>
      </c>
      <c r="H33" s="304">
        <v>0</v>
      </c>
      <c r="I33" s="304">
        <v>0</v>
      </c>
      <c r="J33" s="304">
        <v>0</v>
      </c>
      <c r="K33" s="304">
        <v>0</v>
      </c>
      <c r="L33" s="304">
        <v>0</v>
      </c>
      <c r="M33" s="305">
        <v>0</v>
      </c>
      <c r="N33" s="348"/>
    </row>
    <row r="34" spans="1:15">
      <c r="A34" s="530" t="s">
        <v>246</v>
      </c>
      <c r="B34" s="57"/>
      <c r="C34" s="597">
        <v>256</v>
      </c>
      <c r="D34" s="530"/>
      <c r="E34" s="258">
        <v>0</v>
      </c>
      <c r="F34" s="303">
        <f t="shared" si="4"/>
        <v>0</v>
      </c>
      <c r="G34" s="304">
        <v>0</v>
      </c>
      <c r="H34" s="304">
        <v>0</v>
      </c>
      <c r="I34" s="304">
        <v>0</v>
      </c>
      <c r="J34" s="304">
        <v>0</v>
      </c>
      <c r="K34" s="304">
        <v>0</v>
      </c>
      <c r="L34" s="304">
        <v>0</v>
      </c>
      <c r="M34" s="305">
        <v>0</v>
      </c>
      <c r="N34" s="348"/>
    </row>
    <row r="35" spans="1:15">
      <c r="A35" s="530" t="s">
        <v>247</v>
      </c>
      <c r="B35" s="57"/>
      <c r="C35" s="597">
        <v>257</v>
      </c>
      <c r="D35" s="530"/>
      <c r="E35" s="258">
        <v>0</v>
      </c>
      <c r="F35" s="303">
        <f t="shared" si="4"/>
        <v>0</v>
      </c>
      <c r="G35" s="304">
        <v>0</v>
      </c>
      <c r="H35" s="304">
        <v>0</v>
      </c>
      <c r="I35" s="304">
        <v>0</v>
      </c>
      <c r="J35" s="304">
        <v>0</v>
      </c>
      <c r="K35" s="304">
        <v>0</v>
      </c>
      <c r="L35" s="304">
        <v>0</v>
      </c>
      <c r="M35" s="305">
        <v>0</v>
      </c>
      <c r="N35" s="348"/>
    </row>
    <row r="36" spans="1:15">
      <c r="A36" s="530" t="s">
        <v>248</v>
      </c>
      <c r="B36" s="57"/>
      <c r="C36" s="597" t="s">
        <v>249</v>
      </c>
      <c r="D36" s="530"/>
      <c r="E36" s="258">
        <v>0</v>
      </c>
      <c r="F36" s="303">
        <f t="shared" si="4"/>
        <v>0</v>
      </c>
      <c r="G36" s="304">
        <v>0</v>
      </c>
      <c r="H36" s="304">
        <v>0</v>
      </c>
      <c r="I36" s="304">
        <v>0</v>
      </c>
      <c r="J36" s="304">
        <v>0</v>
      </c>
      <c r="K36" s="304">
        <v>0</v>
      </c>
      <c r="L36" s="304">
        <v>0</v>
      </c>
      <c r="M36" s="305">
        <v>0</v>
      </c>
      <c r="N36" s="348"/>
    </row>
    <row r="37" spans="1:15">
      <c r="A37" s="601" t="s">
        <v>250</v>
      </c>
      <c r="B37" s="57"/>
      <c r="C37" s="621" t="s">
        <v>251</v>
      </c>
      <c r="D37" s="601"/>
      <c r="E37" s="258"/>
      <c r="F37" s="303"/>
      <c r="G37" s="304"/>
      <c r="H37" s="304"/>
      <c r="I37" s="304"/>
      <c r="J37" s="304"/>
      <c r="K37" s="304"/>
      <c r="L37" s="304"/>
      <c r="M37" s="305"/>
      <c r="N37" s="318"/>
    </row>
    <row r="38" spans="1:15">
      <c r="A38" s="622" t="s">
        <v>254</v>
      </c>
      <c r="B38" s="601"/>
      <c r="C38" s="621"/>
      <c r="D38" s="262"/>
      <c r="E38" s="42">
        <f t="shared" ref="E38:M38" si="5">SUM(E24:E37)</f>
        <v>0</v>
      </c>
      <c r="F38" s="43">
        <f t="shared" si="5"/>
        <v>0</v>
      </c>
      <c r="G38" s="43">
        <f t="shared" si="5"/>
        <v>0</v>
      </c>
      <c r="H38" s="43">
        <f t="shared" si="5"/>
        <v>0</v>
      </c>
      <c r="I38" s="43">
        <f t="shared" si="5"/>
        <v>0</v>
      </c>
      <c r="J38" s="43">
        <f t="shared" si="5"/>
        <v>0</v>
      </c>
      <c r="K38" s="43">
        <f t="shared" si="5"/>
        <v>0</v>
      </c>
      <c r="L38" s="43">
        <f t="shared" si="5"/>
        <v>0</v>
      </c>
      <c r="M38" s="43">
        <f t="shared" si="5"/>
        <v>0</v>
      </c>
      <c r="N38" s="348"/>
    </row>
    <row r="39" spans="1:15">
      <c r="A39" s="622" t="s">
        <v>255</v>
      </c>
      <c r="B39" s="629"/>
      <c r="C39" s="630"/>
      <c r="D39" s="262"/>
      <c r="E39" s="236">
        <v>0</v>
      </c>
      <c r="F39" s="235">
        <v>0</v>
      </c>
      <c r="G39" s="235">
        <v>0</v>
      </c>
      <c r="H39" s="235">
        <v>0</v>
      </c>
      <c r="I39" s="235"/>
      <c r="J39" s="235"/>
      <c r="K39" s="235"/>
      <c r="L39" s="235"/>
      <c r="M39" s="235"/>
      <c r="N39" s="348"/>
    </row>
    <row r="40" spans="1:15">
      <c r="A40" s="622" t="s">
        <v>256</v>
      </c>
      <c r="B40" s="631"/>
      <c r="C40" s="632"/>
      <c r="D40" s="48">
        <f>D38+D22+D16</f>
        <v>3</v>
      </c>
      <c r="E40" s="17">
        <f t="shared" ref="E40:L40" si="6">E16+E22+E38-E39</f>
        <v>382</v>
      </c>
      <c r="F40" s="17">
        <f t="shared" si="6"/>
        <v>382</v>
      </c>
      <c r="G40" s="17">
        <f t="shared" si="6"/>
        <v>0</v>
      </c>
      <c r="H40" s="17">
        <f t="shared" si="6"/>
        <v>382</v>
      </c>
      <c r="I40" s="17">
        <f t="shared" si="6"/>
        <v>0</v>
      </c>
      <c r="J40" s="17">
        <f t="shared" si="6"/>
        <v>0</v>
      </c>
      <c r="K40" s="17">
        <f t="shared" si="6"/>
        <v>0</v>
      </c>
      <c r="L40" s="17">
        <f t="shared" si="6"/>
        <v>0</v>
      </c>
      <c r="M40" s="17">
        <f>M38+M22+M16-M39</f>
        <v>0</v>
      </c>
      <c r="N40" s="346"/>
    </row>
    <row r="42" spans="1:15" ht="14.65" customHeight="1">
      <c r="E42" s="283" t="s">
        <v>371</v>
      </c>
      <c r="F42" s="502"/>
      <c r="G42" s="502"/>
      <c r="H42" s="502"/>
      <c r="I42" s="502"/>
      <c r="J42" s="502"/>
      <c r="N42" s="909"/>
      <c r="O42" s="724"/>
    </row>
    <row r="43" spans="1:15">
      <c r="N43" s="909"/>
    </row>
    <row r="44" spans="1:15">
      <c r="G44" s="281"/>
      <c r="H44" s="281"/>
      <c r="I44" s="281"/>
      <c r="J44" s="281"/>
    </row>
    <row r="46" spans="1:15" ht="15" thickBot="1">
      <c r="A46" s="31"/>
      <c r="B46" s="31"/>
      <c r="C46" s="32"/>
      <c r="D46" s="31"/>
      <c r="E46" s="31"/>
      <c r="F46" s="31"/>
      <c r="G46" s="31"/>
      <c r="H46" s="31"/>
      <c r="I46" s="31"/>
      <c r="J46" s="31"/>
      <c r="K46" s="31"/>
      <c r="L46" s="31"/>
      <c r="M46" s="31"/>
      <c r="N46" s="536"/>
    </row>
    <row r="47" spans="1:15" ht="15.5">
      <c r="A47" s="873" t="s">
        <v>257</v>
      </c>
      <c r="B47" s="874"/>
      <c r="C47" s="874"/>
      <c r="D47" s="874"/>
      <c r="E47" s="874"/>
      <c r="F47" s="874"/>
      <c r="G47" s="550"/>
      <c r="H47" s="31"/>
      <c r="I47" s="31"/>
      <c r="J47" s="31"/>
      <c r="K47" s="31"/>
      <c r="L47" s="31"/>
      <c r="M47" s="31"/>
      <c r="N47" s="536"/>
    </row>
    <row r="48" spans="1:15" ht="15.5">
      <c r="A48" s="875"/>
      <c r="B48" s="876"/>
      <c r="C48" s="876"/>
      <c r="D48" s="876"/>
      <c r="E48" s="876"/>
      <c r="F48" s="876"/>
      <c r="G48" s="551"/>
      <c r="H48" s="31"/>
      <c r="I48" s="31"/>
      <c r="J48" s="31"/>
      <c r="K48" s="31"/>
      <c r="L48" s="31"/>
      <c r="M48" s="31"/>
      <c r="N48" s="536"/>
    </row>
    <row r="49" spans="1:14">
      <c r="A49" s="877" t="s">
        <v>258</v>
      </c>
      <c r="B49" s="878"/>
      <c r="C49" s="552"/>
      <c r="D49" s="552"/>
      <c r="E49" s="552"/>
      <c r="F49" s="552"/>
      <c r="G49" s="551"/>
      <c r="H49" s="31"/>
      <c r="I49" s="31"/>
      <c r="J49" s="31"/>
      <c r="K49" s="31"/>
      <c r="L49" s="31"/>
      <c r="M49" s="31"/>
      <c r="N49" s="536"/>
    </row>
    <row r="50" spans="1:14">
      <c r="A50" s="553" t="s">
        <v>1028</v>
      </c>
      <c r="B50" s="554">
        <f>E40</f>
        <v>382</v>
      </c>
      <c r="C50" s="555"/>
      <c r="D50" s="556"/>
      <c r="E50" s="556"/>
      <c r="F50" s="556"/>
      <c r="G50" s="551"/>
      <c r="H50" s="31"/>
      <c r="I50" s="31"/>
      <c r="J50" s="31"/>
      <c r="K50" s="31"/>
      <c r="L50" s="31"/>
      <c r="M50" s="31"/>
      <c r="N50" s="536"/>
    </row>
    <row r="51" spans="1:14">
      <c r="A51" s="557" t="s">
        <v>1029</v>
      </c>
      <c r="B51" s="558">
        <f>F40</f>
        <v>382</v>
      </c>
      <c r="C51" s="555"/>
      <c r="D51" s="556"/>
      <c r="E51" s="556"/>
      <c r="F51" s="556"/>
      <c r="G51" s="551"/>
      <c r="H51" s="31"/>
      <c r="I51" s="31"/>
      <c r="J51" s="31"/>
      <c r="K51" s="31"/>
      <c r="L51" s="31"/>
      <c r="M51" s="31"/>
      <c r="N51" s="536"/>
    </row>
    <row r="52" spans="1:14">
      <c r="A52" s="559" t="s">
        <v>259</v>
      </c>
      <c r="B52" s="560">
        <f>B51-B50</f>
        <v>0</v>
      </c>
      <c r="C52" s="555"/>
      <c r="D52" s="556"/>
      <c r="E52" s="556"/>
      <c r="F52" s="556"/>
      <c r="G52" s="551"/>
      <c r="H52" s="31"/>
      <c r="I52" s="31"/>
      <c r="J52" s="31"/>
      <c r="K52" s="31"/>
      <c r="L52" s="31"/>
      <c r="M52" s="31"/>
      <c r="N52" s="536"/>
    </row>
    <row r="53" spans="1:14">
      <c r="A53" s="559" t="s">
        <v>260</v>
      </c>
      <c r="B53" s="561">
        <f>B52/B50</f>
        <v>0</v>
      </c>
      <c r="C53" s="555"/>
      <c r="D53" s="556"/>
      <c r="E53" s="556"/>
      <c r="F53" s="556"/>
      <c r="G53" s="551"/>
      <c r="H53" s="31"/>
      <c r="I53" s="31"/>
      <c r="J53" s="31"/>
      <c r="K53" s="31"/>
      <c r="L53" s="31"/>
      <c r="M53" s="31"/>
      <c r="N53" s="536"/>
    </row>
    <row r="54" spans="1:14">
      <c r="A54" s="562"/>
      <c r="B54" s="556"/>
      <c r="C54" s="722"/>
      <c r="D54" s="556"/>
      <c r="E54" s="556"/>
      <c r="F54" s="556"/>
      <c r="G54" s="551"/>
      <c r="H54" s="31"/>
      <c r="I54" s="31"/>
      <c r="J54" s="31"/>
      <c r="K54" s="31"/>
      <c r="L54" s="31"/>
      <c r="M54" s="31"/>
      <c r="N54" s="536"/>
    </row>
    <row r="55" spans="1:14">
      <c r="A55" s="879" t="s">
        <v>261</v>
      </c>
      <c r="B55" s="880"/>
      <c r="C55" s="880"/>
      <c r="D55" s="880"/>
      <c r="E55" s="880"/>
      <c r="F55" s="880"/>
      <c r="G55" s="551"/>
      <c r="H55" s="31"/>
      <c r="I55" s="31"/>
      <c r="J55" s="31"/>
      <c r="K55" s="31"/>
      <c r="L55" s="31"/>
      <c r="M55" s="31"/>
      <c r="N55" s="536"/>
    </row>
    <row r="56" spans="1:14" ht="55.5" customHeight="1">
      <c r="A56" s="881" t="s">
        <v>372</v>
      </c>
      <c r="B56" s="882"/>
      <c r="C56" s="882"/>
      <c r="D56" s="882"/>
      <c r="E56" s="882"/>
      <c r="F56" s="883"/>
      <c r="G56" s="551"/>
      <c r="H56" s="31"/>
      <c r="I56" s="31"/>
      <c r="J56" s="31"/>
      <c r="K56" s="31"/>
      <c r="L56" s="31"/>
      <c r="M56" s="31"/>
      <c r="N56" s="536"/>
    </row>
    <row r="57" spans="1:14">
      <c r="A57" s="563"/>
      <c r="B57" s="564"/>
      <c r="C57" s="564"/>
      <c r="D57" s="564"/>
      <c r="E57" s="564"/>
      <c r="F57" s="564"/>
      <c r="G57" s="551"/>
      <c r="H57" s="31"/>
      <c r="I57" s="31"/>
      <c r="J57" s="31"/>
      <c r="K57" s="31"/>
      <c r="L57" s="31"/>
      <c r="M57" s="31"/>
      <c r="N57" s="536"/>
    </row>
    <row r="58" spans="1:14">
      <c r="A58" s="565" t="s">
        <v>262</v>
      </c>
      <c r="B58" s="556"/>
      <c r="C58" s="722"/>
      <c r="D58" s="556"/>
      <c r="E58" s="556"/>
      <c r="F58" s="556"/>
      <c r="G58" s="551"/>
      <c r="H58" s="31"/>
      <c r="I58" s="31"/>
      <c r="J58" s="31"/>
      <c r="K58" s="31"/>
      <c r="L58" s="31"/>
      <c r="M58" s="31"/>
      <c r="N58" s="536"/>
    </row>
    <row r="59" spans="1:14" ht="46.5" customHeight="1">
      <c r="A59" s="881" t="s">
        <v>1136</v>
      </c>
      <c r="B59" s="882"/>
      <c r="C59" s="882"/>
      <c r="D59" s="882"/>
      <c r="E59" s="882"/>
      <c r="F59" s="883"/>
      <c r="G59" s="551"/>
      <c r="H59" s="31"/>
      <c r="I59" s="31"/>
      <c r="J59" s="31"/>
      <c r="K59" s="31"/>
      <c r="L59" s="31"/>
      <c r="M59" s="31"/>
      <c r="N59" s="536"/>
    </row>
    <row r="60" spans="1:14">
      <c r="A60" s="562"/>
      <c r="B60" s="556"/>
      <c r="C60" s="722"/>
      <c r="D60" s="556"/>
      <c r="E60" s="556"/>
      <c r="F60" s="556"/>
      <c r="G60" s="551"/>
      <c r="H60" s="31"/>
      <c r="I60" s="31"/>
      <c r="J60" s="31"/>
      <c r="K60" s="31"/>
      <c r="L60" s="31"/>
      <c r="M60" s="31"/>
      <c r="N60" s="536"/>
    </row>
    <row r="61" spans="1:14">
      <c r="A61" s="879" t="s">
        <v>1020</v>
      </c>
      <c r="B61" s="880"/>
      <c r="C61" s="880"/>
      <c r="D61" s="880"/>
      <c r="E61" s="880"/>
      <c r="F61" s="880"/>
      <c r="G61" s="551"/>
      <c r="H61" s="31"/>
      <c r="I61" s="31"/>
      <c r="J61" s="31"/>
      <c r="K61" s="31"/>
      <c r="L61" s="31"/>
      <c r="M61" s="31"/>
      <c r="N61" s="536"/>
    </row>
    <row r="62" spans="1:14">
      <c r="A62" s="906" t="s">
        <v>1021</v>
      </c>
      <c r="B62" s="907"/>
      <c r="C62" s="907"/>
      <c r="D62" s="907"/>
      <c r="E62" s="907"/>
      <c r="F62" s="907"/>
      <c r="G62" s="551"/>
      <c r="H62" s="31"/>
      <c r="I62" s="31"/>
      <c r="J62" s="31"/>
      <c r="K62" s="31"/>
      <c r="L62" s="31"/>
      <c r="M62" s="31"/>
      <c r="N62" s="536"/>
    </row>
    <row r="63" spans="1:14" ht="38.5" customHeight="1">
      <c r="A63" s="881" t="s">
        <v>883</v>
      </c>
      <c r="B63" s="882"/>
      <c r="C63" s="882"/>
      <c r="D63" s="882"/>
      <c r="E63" s="882"/>
      <c r="F63" s="883"/>
      <c r="G63" s="551"/>
      <c r="H63" s="31"/>
      <c r="I63" s="31"/>
      <c r="J63" s="31"/>
      <c r="K63" s="31"/>
      <c r="L63" s="31"/>
      <c r="M63" s="31"/>
      <c r="N63" s="536"/>
    </row>
    <row r="64" spans="1:14">
      <c r="A64" s="565"/>
      <c r="B64" s="556"/>
      <c r="C64" s="722"/>
      <c r="D64" s="556"/>
      <c r="E64" s="556"/>
      <c r="F64" s="556"/>
      <c r="G64" s="551"/>
      <c r="H64" s="31"/>
      <c r="I64" s="31"/>
      <c r="J64" s="31"/>
      <c r="K64" s="31"/>
      <c r="L64" s="31"/>
      <c r="M64" s="31"/>
      <c r="N64" s="536"/>
    </row>
    <row r="65" spans="1:14">
      <c r="A65" s="879" t="s">
        <v>264</v>
      </c>
      <c r="B65" s="880"/>
      <c r="C65" s="880"/>
      <c r="D65" s="880"/>
      <c r="E65" s="880"/>
      <c r="F65" s="556"/>
      <c r="G65" s="551"/>
      <c r="H65" s="31"/>
      <c r="I65" s="31"/>
      <c r="J65" s="31"/>
      <c r="K65" s="31"/>
      <c r="L65" s="31"/>
      <c r="M65" s="31"/>
      <c r="N65" s="536"/>
    </row>
    <row r="66" spans="1:14" ht="30.4" customHeight="1">
      <c r="A66" s="900" t="s">
        <v>374</v>
      </c>
      <c r="B66" s="901"/>
      <c r="C66" s="901"/>
      <c r="D66" s="901"/>
      <c r="E66" s="901"/>
      <c r="F66" s="902"/>
      <c r="G66" s="551"/>
      <c r="H66" s="31"/>
      <c r="I66" s="31"/>
      <c r="J66" s="31"/>
      <c r="K66" s="31"/>
      <c r="L66" s="31"/>
      <c r="M66" s="31"/>
      <c r="N66" s="536"/>
    </row>
    <row r="67" spans="1:14">
      <c r="A67" s="562"/>
      <c r="B67" s="556"/>
      <c r="C67" s="722"/>
      <c r="D67" s="556"/>
      <c r="E67" s="556"/>
      <c r="F67" s="556"/>
      <c r="G67" s="551"/>
      <c r="H67" s="31"/>
      <c r="I67" s="31"/>
      <c r="J67" s="31"/>
      <c r="K67" s="31"/>
      <c r="L67" s="31"/>
      <c r="M67" s="31"/>
      <c r="N67" s="536"/>
    </row>
    <row r="68" spans="1:14">
      <c r="A68" s="565" t="s">
        <v>265</v>
      </c>
      <c r="B68" s="556"/>
      <c r="C68" s="722"/>
      <c r="D68" s="556"/>
      <c r="E68" s="556"/>
      <c r="F68" s="556"/>
      <c r="G68" s="551"/>
      <c r="H68" s="31"/>
      <c r="I68" s="31"/>
      <c r="J68" s="31"/>
      <c r="K68" s="31"/>
      <c r="L68" s="31"/>
      <c r="M68" s="31"/>
      <c r="N68" s="536"/>
    </row>
    <row r="69" spans="1:14">
      <c r="A69" s="566" t="s">
        <v>266</v>
      </c>
      <c r="B69" s="556"/>
      <c r="C69" s="722"/>
      <c r="D69" s="556"/>
      <c r="E69" s="556"/>
      <c r="F69" s="556"/>
      <c r="G69" s="551"/>
      <c r="H69" s="31"/>
      <c r="I69" s="31"/>
      <c r="J69" s="31"/>
      <c r="K69" s="31"/>
      <c r="L69" s="31"/>
      <c r="M69" s="31"/>
      <c r="N69" s="536"/>
    </row>
    <row r="70" spans="1:14" ht="26.25" customHeight="1">
      <c r="A70" s="892" t="s">
        <v>1030</v>
      </c>
      <c r="B70" s="893"/>
      <c r="C70" s="893"/>
      <c r="D70" s="893"/>
      <c r="E70" s="893"/>
      <c r="F70" s="893"/>
      <c r="G70" s="551"/>
      <c r="H70" s="31"/>
      <c r="I70" s="31"/>
      <c r="J70" s="31"/>
      <c r="K70" s="31"/>
      <c r="L70" s="31"/>
      <c r="M70" s="31"/>
      <c r="N70" s="536"/>
    </row>
    <row r="71" spans="1:14" ht="26.25" customHeight="1">
      <c r="A71" s="881" t="s">
        <v>1137</v>
      </c>
      <c r="B71" s="882"/>
      <c r="C71" s="882"/>
      <c r="D71" s="882"/>
      <c r="E71" s="882"/>
      <c r="F71" s="883"/>
      <c r="G71" s="551"/>
      <c r="H71" s="31"/>
      <c r="I71" s="31"/>
      <c r="J71" s="31"/>
      <c r="K71" s="31"/>
      <c r="L71" s="31"/>
      <c r="M71" s="31"/>
      <c r="N71" s="536"/>
    </row>
    <row r="72" spans="1:14">
      <c r="A72" s="894"/>
      <c r="B72" s="895"/>
      <c r="C72" s="895"/>
      <c r="D72" s="895"/>
      <c r="E72" s="895"/>
      <c r="F72" s="895"/>
      <c r="G72" s="551"/>
      <c r="H72" s="31"/>
      <c r="I72" s="31"/>
      <c r="J72" s="31"/>
      <c r="K72" s="31"/>
      <c r="L72" s="31"/>
      <c r="M72" s="31"/>
      <c r="N72" s="536"/>
    </row>
    <row r="73" spans="1:14">
      <c r="A73" s="566" t="s">
        <v>268</v>
      </c>
      <c r="B73" s="556"/>
      <c r="C73" s="722"/>
      <c r="D73" s="556"/>
      <c r="E73" s="556"/>
      <c r="F73" s="556"/>
      <c r="G73" s="551"/>
      <c r="H73" s="31"/>
      <c r="I73" s="31"/>
      <c r="J73" s="31"/>
      <c r="K73" s="31"/>
      <c r="L73" s="31"/>
      <c r="M73" s="31"/>
      <c r="N73" s="536"/>
    </row>
    <row r="74" spans="1:14" ht="28.9" customHeight="1">
      <c r="A74" s="896" t="s">
        <v>269</v>
      </c>
      <c r="B74" s="897"/>
      <c r="C74" s="897"/>
      <c r="D74" s="897"/>
      <c r="E74" s="897"/>
      <c r="F74" s="897"/>
      <c r="G74" s="551"/>
      <c r="H74" s="31"/>
      <c r="I74" s="31"/>
      <c r="J74" s="31"/>
      <c r="K74" s="31"/>
      <c r="L74" s="31"/>
      <c r="M74" s="31"/>
      <c r="N74" s="536"/>
    </row>
    <row r="75" spans="1:14" ht="30.75" customHeight="1">
      <c r="A75" s="900" t="s">
        <v>1138</v>
      </c>
      <c r="B75" s="901"/>
      <c r="C75" s="901"/>
      <c r="D75" s="901"/>
      <c r="E75" s="901"/>
      <c r="F75" s="902"/>
      <c r="G75" s="551"/>
      <c r="H75" s="31"/>
      <c r="I75" s="31"/>
      <c r="J75" s="31"/>
      <c r="K75" s="31"/>
      <c r="L75" s="31"/>
      <c r="M75" s="31"/>
      <c r="N75" s="536"/>
    </row>
    <row r="76" spans="1:14" ht="15" thickBot="1">
      <c r="A76" s="567"/>
      <c r="B76" s="568"/>
      <c r="C76" s="569"/>
      <c r="D76" s="568"/>
      <c r="E76" s="568"/>
      <c r="F76" s="568"/>
      <c r="G76" s="570"/>
      <c r="H76" s="31"/>
      <c r="I76" s="31"/>
      <c r="J76" s="31"/>
      <c r="K76" s="31"/>
      <c r="L76" s="31"/>
      <c r="M76" s="31"/>
      <c r="N76" s="536"/>
    </row>
    <row r="77" spans="1:14">
      <c r="A77" s="31"/>
      <c r="B77" s="31"/>
      <c r="C77" s="32"/>
      <c r="D77" s="31"/>
      <c r="E77" s="31"/>
      <c r="F77" s="31"/>
      <c r="G77" s="31"/>
      <c r="H77" s="31"/>
      <c r="I77" s="31"/>
      <c r="J77" s="31"/>
      <c r="K77" s="31"/>
      <c r="L77" s="31"/>
      <c r="M77" s="31"/>
      <c r="N77" s="536"/>
    </row>
    <row r="78" spans="1:14">
      <c r="A78" s="31"/>
      <c r="B78" s="31"/>
      <c r="C78" s="32"/>
      <c r="D78" s="31"/>
      <c r="E78" s="31"/>
      <c r="F78" s="31"/>
      <c r="G78" s="31"/>
      <c r="H78" s="31"/>
      <c r="I78" s="31"/>
      <c r="J78" s="31"/>
      <c r="K78" s="31"/>
      <c r="L78" s="31"/>
      <c r="M78" s="31"/>
      <c r="N78" s="536"/>
    </row>
    <row r="79" spans="1:14">
      <c r="A79" s="31"/>
      <c r="B79" s="31"/>
      <c r="C79" s="32"/>
      <c r="D79" s="31"/>
      <c r="E79" s="31"/>
      <c r="F79" s="31"/>
      <c r="G79" s="31"/>
      <c r="H79" s="31"/>
      <c r="I79" s="31"/>
      <c r="J79" s="31"/>
      <c r="K79" s="31"/>
      <c r="L79" s="31"/>
      <c r="M79" s="31"/>
      <c r="N79" s="536"/>
    </row>
    <row r="80" spans="1:14">
      <c r="A80" s="31"/>
      <c r="B80" s="31"/>
      <c r="C80" s="32"/>
      <c r="D80" s="31"/>
      <c r="E80" s="31"/>
      <c r="F80" s="31"/>
      <c r="G80" s="31"/>
      <c r="H80" s="31"/>
      <c r="I80" s="31"/>
      <c r="J80" s="31"/>
      <c r="K80" s="31"/>
      <c r="L80" s="31"/>
      <c r="M80" s="31"/>
      <c r="N80" s="536"/>
    </row>
    <row r="81" spans="1:14">
      <c r="A81" s="31"/>
      <c r="B81" s="31"/>
      <c r="C81" s="32"/>
      <c r="D81" s="31"/>
      <c r="E81" s="31"/>
      <c r="F81" s="31"/>
      <c r="G81" s="31"/>
      <c r="H81" s="31"/>
      <c r="I81" s="31"/>
      <c r="J81" s="31"/>
      <c r="K81" s="31"/>
      <c r="L81" s="31"/>
      <c r="M81" s="31"/>
      <c r="N81" s="536"/>
    </row>
    <row r="82" spans="1:14">
      <c r="A82" s="31"/>
      <c r="B82" s="31"/>
      <c r="C82" s="32"/>
      <c r="D82" s="31"/>
      <c r="E82" s="31"/>
      <c r="F82" s="31"/>
      <c r="G82" s="31"/>
      <c r="H82" s="31"/>
      <c r="I82" s="31"/>
      <c r="J82" s="31"/>
      <c r="K82" s="31"/>
      <c r="L82" s="31"/>
      <c r="M82" s="31"/>
      <c r="N82" s="536"/>
    </row>
    <row r="83" spans="1:14">
      <c r="A83" s="31"/>
      <c r="B83" s="31"/>
      <c r="C83" s="32"/>
      <c r="D83" s="31"/>
      <c r="E83" s="31"/>
      <c r="F83" s="31"/>
      <c r="G83" s="31"/>
      <c r="H83" s="31"/>
      <c r="I83" s="31"/>
      <c r="J83" s="31"/>
      <c r="K83" s="31"/>
      <c r="L83" s="31"/>
      <c r="M83" s="31"/>
      <c r="N83" s="536"/>
    </row>
    <row r="84" spans="1:14">
      <c r="A84" s="31"/>
      <c r="B84" s="31"/>
      <c r="C84" s="32"/>
      <c r="D84" s="31"/>
      <c r="E84" s="31"/>
      <c r="F84" s="31"/>
      <c r="G84" s="31"/>
      <c r="H84" s="31"/>
      <c r="I84" s="31"/>
      <c r="J84" s="31"/>
      <c r="K84" s="31"/>
      <c r="L84" s="31"/>
      <c r="M84" s="31"/>
      <c r="N84" s="536"/>
    </row>
    <row r="85" spans="1:14">
      <c r="A85" s="31"/>
      <c r="B85" s="31"/>
      <c r="C85" s="32"/>
      <c r="D85" s="31"/>
      <c r="E85" s="31"/>
      <c r="F85" s="31"/>
      <c r="G85" s="31"/>
      <c r="H85" s="31"/>
      <c r="I85" s="31"/>
      <c r="J85" s="31"/>
      <c r="K85" s="31"/>
      <c r="L85" s="31"/>
      <c r="M85" s="31"/>
      <c r="N85" s="536"/>
    </row>
    <row r="86" spans="1:14">
      <c r="A86" s="31"/>
      <c r="B86" s="31"/>
      <c r="C86" s="32"/>
      <c r="D86" s="31"/>
      <c r="E86" s="31"/>
      <c r="F86" s="31"/>
      <c r="G86" s="31"/>
      <c r="H86" s="31"/>
      <c r="I86" s="31"/>
      <c r="J86" s="31"/>
      <c r="K86" s="31"/>
      <c r="L86" s="31"/>
      <c r="M86" s="31"/>
      <c r="N86" s="536"/>
    </row>
    <row r="87" spans="1:14">
      <c r="A87" s="31"/>
      <c r="B87" s="31"/>
      <c r="C87" s="32"/>
      <c r="D87" s="31"/>
      <c r="E87" s="31"/>
      <c r="F87" s="31"/>
      <c r="G87" s="31"/>
      <c r="H87" s="31"/>
      <c r="I87" s="31"/>
      <c r="J87" s="31"/>
      <c r="K87" s="31"/>
      <c r="L87" s="31"/>
      <c r="M87" s="31"/>
      <c r="N87" s="536"/>
    </row>
    <row r="88" spans="1:14">
      <c r="A88" s="31"/>
      <c r="B88" s="31"/>
      <c r="C88" s="32"/>
      <c r="D88" s="31"/>
      <c r="E88" s="31"/>
      <c r="F88" s="31"/>
      <c r="G88" s="31"/>
      <c r="H88" s="31"/>
      <c r="I88" s="31"/>
      <c r="J88" s="31"/>
      <c r="K88" s="31"/>
      <c r="L88" s="31"/>
      <c r="M88" s="31"/>
      <c r="N88" s="536"/>
    </row>
    <row r="89" spans="1:14">
      <c r="A89" s="31"/>
      <c r="B89" s="31"/>
      <c r="C89" s="32"/>
      <c r="D89" s="31"/>
      <c r="E89" s="31"/>
      <c r="F89" s="31"/>
      <c r="G89" s="31"/>
      <c r="H89" s="31"/>
      <c r="I89" s="31"/>
      <c r="J89" s="31"/>
      <c r="K89" s="31"/>
      <c r="L89" s="31"/>
      <c r="M89" s="31"/>
      <c r="N89" s="536"/>
    </row>
    <row r="90" spans="1:14">
      <c r="A90" s="31"/>
      <c r="B90" s="31"/>
      <c r="C90" s="32"/>
      <c r="D90" s="31"/>
      <c r="E90" s="31"/>
      <c r="F90" s="31"/>
      <c r="G90" s="31"/>
      <c r="H90" s="31"/>
      <c r="I90" s="31"/>
      <c r="J90" s="31"/>
      <c r="K90" s="31"/>
      <c r="L90" s="31"/>
      <c r="M90" s="31"/>
      <c r="N90" s="536"/>
    </row>
    <row r="91" spans="1:14">
      <c r="A91" s="31"/>
      <c r="B91" s="31"/>
      <c r="C91" s="32"/>
      <c r="D91" s="31"/>
      <c r="E91" s="31"/>
      <c r="F91" s="31"/>
      <c r="G91" s="31"/>
      <c r="H91" s="31"/>
      <c r="I91" s="31"/>
      <c r="J91" s="31"/>
      <c r="K91" s="31"/>
      <c r="L91" s="31"/>
      <c r="M91" s="31"/>
      <c r="N91" s="536"/>
    </row>
    <row r="92" spans="1:14">
      <c r="A92" s="31"/>
      <c r="B92" s="31"/>
      <c r="C92" s="32"/>
      <c r="D92" s="31"/>
      <c r="E92" s="31"/>
      <c r="F92" s="31"/>
      <c r="G92" s="31"/>
      <c r="H92" s="31"/>
      <c r="I92" s="31"/>
      <c r="J92" s="31"/>
      <c r="K92" s="31"/>
      <c r="L92" s="31"/>
      <c r="M92" s="31"/>
      <c r="N92" s="536"/>
    </row>
    <row r="93" spans="1:14">
      <c r="A93" s="31"/>
      <c r="B93" s="31"/>
      <c r="C93" s="32"/>
      <c r="D93" s="31"/>
      <c r="E93" s="31"/>
      <c r="F93" s="31"/>
      <c r="G93" s="31"/>
      <c r="H93" s="31"/>
      <c r="I93" s="31"/>
      <c r="J93" s="31"/>
      <c r="K93" s="31"/>
      <c r="L93" s="31"/>
      <c r="M93" s="31"/>
      <c r="N93" s="536"/>
    </row>
    <row r="94" spans="1:14">
      <c r="A94" s="31"/>
      <c r="B94" s="31"/>
      <c r="C94" s="32"/>
      <c r="D94" s="31"/>
      <c r="E94" s="31"/>
      <c r="F94" s="31"/>
      <c r="G94" s="31"/>
      <c r="H94" s="31"/>
      <c r="I94" s="31"/>
      <c r="J94" s="31"/>
      <c r="K94" s="31"/>
      <c r="L94" s="31"/>
      <c r="M94" s="31"/>
      <c r="N94" s="536"/>
    </row>
  </sheetData>
  <mergeCells count="18">
    <mergeCell ref="A55:F55"/>
    <mergeCell ref="A1:N1"/>
    <mergeCell ref="N42:N43"/>
    <mergeCell ref="A47:F47"/>
    <mergeCell ref="A48:F48"/>
    <mergeCell ref="A49:B49"/>
    <mergeCell ref="A75:F75"/>
    <mergeCell ref="A56:F56"/>
    <mergeCell ref="A59:F59"/>
    <mergeCell ref="A61:F61"/>
    <mergeCell ref="A62:F62"/>
    <mergeCell ref="A63:F63"/>
    <mergeCell ref="A65:E65"/>
    <mergeCell ref="A66:F66"/>
    <mergeCell ref="A70:F70"/>
    <mergeCell ref="A71:F71"/>
    <mergeCell ref="A72:F72"/>
    <mergeCell ref="A74:F74"/>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39997558519241921"/>
    <pageSetUpPr fitToPage="1"/>
  </sheetPr>
  <dimension ref="A1:U134"/>
  <sheetViews>
    <sheetView zoomScaleNormal="100" workbookViewId="0">
      <selection sqref="A1:N1"/>
    </sheetView>
  </sheetViews>
  <sheetFormatPr defaultRowHeight="14.5"/>
  <cols>
    <col min="1" max="1" width="39.54296875" customWidth="1"/>
    <col min="2" max="2" width="19.1796875" bestFit="1" customWidth="1"/>
    <col min="3" max="3" width="7.7265625" style="30" customWidth="1"/>
    <col min="4" max="4" width="17.453125" customWidth="1"/>
    <col min="5" max="5" width="10.7265625" customWidth="1"/>
    <col min="6" max="6" width="11" customWidth="1"/>
    <col min="7" max="7" width="9.54296875" customWidth="1"/>
    <col min="8" max="8" width="10.54296875" bestFit="1" customWidth="1"/>
    <col min="9" max="9" width="7.1796875" customWidth="1"/>
    <col min="10" max="10" width="8" bestFit="1" customWidth="1"/>
    <col min="11" max="11" width="7.7265625" customWidth="1"/>
    <col min="12" max="12" width="9.7265625" customWidth="1"/>
    <col min="13" max="13" width="9.1796875" customWidth="1"/>
    <col min="14" max="14" width="32.54296875" bestFit="1" customWidth="1"/>
    <col min="15" max="15" width="53.54296875" customWidth="1"/>
  </cols>
  <sheetData>
    <row r="1" spans="1:15" ht="15.5">
      <c r="A1" s="854" t="s">
        <v>377</v>
      </c>
      <c r="B1" s="854"/>
      <c r="C1" s="854"/>
      <c r="D1" s="854"/>
      <c r="E1" s="854"/>
      <c r="F1" s="854"/>
      <c r="G1" s="854"/>
      <c r="H1" s="854"/>
      <c r="I1" s="854"/>
      <c r="J1" s="854"/>
      <c r="K1" s="854"/>
      <c r="L1" s="854"/>
      <c r="M1" s="854"/>
      <c r="N1" s="854"/>
      <c r="O1" s="370"/>
    </row>
    <row r="2" spans="1:15">
      <c r="A2" s="702" t="s">
        <v>378</v>
      </c>
      <c r="B2" s="370"/>
      <c r="C2" s="639"/>
      <c r="D2" s="370"/>
      <c r="E2" s="370"/>
      <c r="F2" s="370"/>
      <c r="G2" s="370"/>
      <c r="H2" s="370"/>
      <c r="I2" s="370"/>
      <c r="J2" s="370"/>
      <c r="K2" s="370"/>
      <c r="L2" s="370"/>
      <c r="M2" s="370"/>
      <c r="N2" s="370"/>
      <c r="O2" s="370"/>
    </row>
    <row r="3" spans="1:15">
      <c r="A3" s="506" t="s">
        <v>379</v>
      </c>
      <c r="B3" s="370"/>
      <c r="C3" s="639"/>
      <c r="D3" s="370"/>
      <c r="E3" s="370"/>
      <c r="F3" s="451" t="s">
        <v>210</v>
      </c>
      <c r="G3" s="370"/>
      <c r="H3" s="370"/>
      <c r="I3" s="370"/>
      <c r="J3" s="370"/>
      <c r="K3" s="370"/>
      <c r="L3" s="370"/>
      <c r="M3" s="370"/>
      <c r="N3" s="370"/>
      <c r="O3" s="370"/>
    </row>
    <row r="4" spans="1:15">
      <c r="A4" s="506" t="s">
        <v>380</v>
      </c>
      <c r="B4" s="31"/>
      <c r="C4" s="32"/>
      <c r="D4" s="31"/>
      <c r="E4" s="31"/>
      <c r="F4" s="370"/>
      <c r="G4" s="370"/>
      <c r="H4" s="370"/>
      <c r="I4" s="370"/>
      <c r="J4" s="370"/>
      <c r="K4" s="370"/>
      <c r="L4" s="370"/>
      <c r="M4" s="370"/>
      <c r="N4" s="370"/>
      <c r="O4" s="370"/>
    </row>
    <row r="5" spans="1:15" ht="29">
      <c r="A5" s="33"/>
      <c r="B5" s="33" t="s">
        <v>212</v>
      </c>
      <c r="C5" s="1" t="s">
        <v>213</v>
      </c>
      <c r="D5" s="2" t="s">
        <v>273</v>
      </c>
      <c r="E5" s="34" t="s">
        <v>734</v>
      </c>
      <c r="F5" s="35" t="s">
        <v>1008</v>
      </c>
      <c r="G5" s="35" t="s">
        <v>0</v>
      </c>
      <c r="H5" s="35" t="s">
        <v>1</v>
      </c>
      <c r="I5" s="35" t="s">
        <v>2</v>
      </c>
      <c r="J5" s="35" t="s">
        <v>3</v>
      </c>
      <c r="K5" s="35" t="s">
        <v>4</v>
      </c>
      <c r="L5" s="35" t="s">
        <v>26</v>
      </c>
      <c r="M5" s="2" t="s">
        <v>214</v>
      </c>
      <c r="N5" s="35" t="s">
        <v>215</v>
      </c>
      <c r="O5" s="370"/>
    </row>
    <row r="6" spans="1:15">
      <c r="A6" s="67" t="s">
        <v>216</v>
      </c>
      <c r="B6" s="68"/>
      <c r="C6" s="69"/>
      <c r="D6" s="68"/>
      <c r="E6" s="68"/>
      <c r="F6" s="70"/>
      <c r="G6" s="70"/>
      <c r="H6" s="70"/>
      <c r="I6" s="70"/>
      <c r="J6" s="70"/>
      <c r="K6" s="70"/>
      <c r="L6" s="70"/>
      <c r="M6" s="70"/>
      <c r="N6" s="70"/>
      <c r="O6" s="532"/>
    </row>
    <row r="7" spans="1:15" ht="43.5">
      <c r="A7" s="36" t="s">
        <v>745</v>
      </c>
      <c r="B7" s="36" t="s">
        <v>381</v>
      </c>
      <c r="C7" s="37" t="s">
        <v>218</v>
      </c>
      <c r="D7" s="38">
        <v>1</v>
      </c>
      <c r="E7" s="258">
        <v>133</v>
      </c>
      <c r="F7" s="303">
        <f t="shared" ref="F7:F13" si="0">SUM(G7:M7)</f>
        <v>138</v>
      </c>
      <c r="G7" s="304">
        <v>0</v>
      </c>
      <c r="H7" s="304">
        <v>138</v>
      </c>
      <c r="I7" s="304">
        <v>0</v>
      </c>
      <c r="J7" s="304">
        <v>0</v>
      </c>
      <c r="K7" s="304">
        <v>0</v>
      </c>
      <c r="L7" s="304">
        <v>0</v>
      </c>
      <c r="M7" s="305">
        <v>0</v>
      </c>
      <c r="N7" s="160" t="s">
        <v>1184</v>
      </c>
      <c r="O7" s="533"/>
    </row>
    <row r="8" spans="1:15" ht="43.5">
      <c r="A8" s="371" t="s">
        <v>993</v>
      </c>
      <c r="B8" s="530" t="s">
        <v>831</v>
      </c>
      <c r="C8" s="37" t="s">
        <v>218</v>
      </c>
      <c r="D8" s="39">
        <v>1</v>
      </c>
      <c r="E8" s="258">
        <v>109</v>
      </c>
      <c r="F8" s="303">
        <f t="shared" si="0"/>
        <v>113</v>
      </c>
      <c r="G8" s="304">
        <v>0</v>
      </c>
      <c r="H8" s="304">
        <v>113</v>
      </c>
      <c r="I8" s="304">
        <v>0</v>
      </c>
      <c r="J8" s="304">
        <v>0</v>
      </c>
      <c r="K8" s="304">
        <v>0</v>
      </c>
      <c r="L8" s="304">
        <v>0</v>
      </c>
      <c r="M8" s="305">
        <v>0</v>
      </c>
      <c r="N8" s="160" t="s">
        <v>1184</v>
      </c>
      <c r="O8" s="534"/>
    </row>
    <row r="9" spans="1:15" ht="43.5">
      <c r="A9" s="36" t="s">
        <v>994</v>
      </c>
      <c r="B9" s="530" t="s">
        <v>832</v>
      </c>
      <c r="C9" s="37" t="s">
        <v>218</v>
      </c>
      <c r="D9" s="39">
        <v>1</v>
      </c>
      <c r="E9" s="258">
        <v>90</v>
      </c>
      <c r="F9" s="303">
        <f t="shared" si="0"/>
        <v>94</v>
      </c>
      <c r="G9" s="304">
        <v>0</v>
      </c>
      <c r="H9" s="304">
        <v>94</v>
      </c>
      <c r="I9" s="304">
        <v>0</v>
      </c>
      <c r="J9" s="304">
        <v>0</v>
      </c>
      <c r="K9" s="304">
        <v>0</v>
      </c>
      <c r="L9" s="304">
        <v>0</v>
      </c>
      <c r="M9" s="305">
        <v>0</v>
      </c>
      <c r="N9" s="160" t="s">
        <v>1184</v>
      </c>
      <c r="O9" s="534"/>
    </row>
    <row r="10" spans="1:15" ht="101.5">
      <c r="A10" s="776" t="s">
        <v>1143</v>
      </c>
      <c r="B10" s="370" t="s">
        <v>398</v>
      </c>
      <c r="C10" s="37" t="s">
        <v>218</v>
      </c>
      <c r="D10" s="39">
        <v>1</v>
      </c>
      <c r="E10" s="258">
        <v>45</v>
      </c>
      <c r="F10" s="303">
        <f t="shared" si="0"/>
        <v>94</v>
      </c>
      <c r="G10" s="304">
        <v>94</v>
      </c>
      <c r="H10" s="304"/>
      <c r="I10" s="304">
        <v>0</v>
      </c>
      <c r="J10" s="304">
        <v>0</v>
      </c>
      <c r="K10" s="304">
        <v>0</v>
      </c>
      <c r="L10" s="304">
        <v>0</v>
      </c>
      <c r="M10" s="305">
        <v>0</v>
      </c>
      <c r="N10" s="318" t="s">
        <v>1183</v>
      </c>
      <c r="O10" s="533"/>
    </row>
    <row r="11" spans="1:15" ht="15" customHeight="1">
      <c r="A11" s="36" t="s">
        <v>217</v>
      </c>
      <c r="B11" s="36"/>
      <c r="C11" s="37" t="s">
        <v>218</v>
      </c>
      <c r="D11" s="39"/>
      <c r="E11" s="258">
        <v>0</v>
      </c>
      <c r="F11" s="303">
        <f t="shared" si="0"/>
        <v>0</v>
      </c>
      <c r="G11" s="304">
        <v>0</v>
      </c>
      <c r="H11" s="304">
        <v>0</v>
      </c>
      <c r="I11" s="304">
        <v>0</v>
      </c>
      <c r="J11" s="304">
        <v>0</v>
      </c>
      <c r="K11" s="304">
        <v>0</v>
      </c>
      <c r="L11" s="304">
        <v>0</v>
      </c>
      <c r="M11" s="305">
        <v>0</v>
      </c>
      <c r="N11" s="348"/>
      <c r="O11" s="370"/>
    </row>
    <row r="12" spans="1:15" ht="15" customHeight="1">
      <c r="A12" s="36" t="s">
        <v>217</v>
      </c>
      <c r="B12" s="259"/>
      <c r="C12" s="37" t="s">
        <v>218</v>
      </c>
      <c r="D12" s="39"/>
      <c r="E12" s="258">
        <v>0</v>
      </c>
      <c r="F12" s="303">
        <f t="shared" si="0"/>
        <v>0</v>
      </c>
      <c r="G12" s="304">
        <v>0</v>
      </c>
      <c r="H12" s="304">
        <v>0</v>
      </c>
      <c r="I12" s="304">
        <v>0</v>
      </c>
      <c r="J12" s="304">
        <v>0</v>
      </c>
      <c r="K12" s="304">
        <v>0</v>
      </c>
      <c r="L12" s="304">
        <v>0</v>
      </c>
      <c r="M12" s="305">
        <v>0</v>
      </c>
      <c r="N12" s="348"/>
      <c r="O12" s="370"/>
    </row>
    <row r="13" spans="1:15">
      <c r="A13" s="36" t="s">
        <v>217</v>
      </c>
      <c r="B13" s="259"/>
      <c r="C13" s="37" t="s">
        <v>218</v>
      </c>
      <c r="D13" s="39"/>
      <c r="E13" s="258">
        <v>0</v>
      </c>
      <c r="F13" s="303">
        <f t="shared" si="0"/>
        <v>0</v>
      </c>
      <c r="G13" s="304">
        <v>0</v>
      </c>
      <c r="H13" s="304">
        <v>0</v>
      </c>
      <c r="I13" s="304">
        <v>0</v>
      </c>
      <c r="J13" s="304">
        <v>0</v>
      </c>
      <c r="K13" s="304">
        <v>0</v>
      </c>
      <c r="L13" s="304">
        <v>0</v>
      </c>
      <c r="M13" s="305">
        <v>0</v>
      </c>
      <c r="N13" s="348"/>
      <c r="O13" s="370"/>
    </row>
    <row r="14" spans="1:15">
      <c r="A14" s="36" t="s">
        <v>217</v>
      </c>
      <c r="B14" s="259"/>
      <c r="C14" s="37" t="s">
        <v>218</v>
      </c>
      <c r="D14" s="39"/>
      <c r="E14" s="258">
        <v>0</v>
      </c>
      <c r="F14" s="303">
        <f>SUM(G14:M14)</f>
        <v>0</v>
      </c>
      <c r="G14" s="304">
        <v>0</v>
      </c>
      <c r="H14" s="304">
        <v>0</v>
      </c>
      <c r="I14" s="304">
        <v>0</v>
      </c>
      <c r="J14" s="304">
        <v>0</v>
      </c>
      <c r="K14" s="304">
        <v>0</v>
      </c>
      <c r="L14" s="304">
        <v>0</v>
      </c>
      <c r="M14" s="305">
        <v>0</v>
      </c>
      <c r="N14" s="348"/>
      <c r="O14" s="370"/>
    </row>
    <row r="15" spans="1:15">
      <c r="A15" s="36" t="s">
        <v>217</v>
      </c>
      <c r="B15" s="260"/>
      <c r="C15" s="37" t="s">
        <v>218</v>
      </c>
      <c r="D15" s="39"/>
      <c r="E15" s="258">
        <v>0</v>
      </c>
      <c r="F15" s="303">
        <f>SUM(G15:M15)</f>
        <v>0</v>
      </c>
      <c r="G15" s="304">
        <v>0</v>
      </c>
      <c r="H15" s="304">
        <v>0</v>
      </c>
      <c r="I15" s="304">
        <v>0</v>
      </c>
      <c r="J15" s="304">
        <v>0</v>
      </c>
      <c r="K15" s="304">
        <v>0</v>
      </c>
      <c r="L15" s="304">
        <v>0</v>
      </c>
      <c r="M15" s="305">
        <v>0</v>
      </c>
      <c r="N15" s="348"/>
      <c r="O15" s="370"/>
    </row>
    <row r="16" spans="1:15">
      <c r="A16" s="40" t="s">
        <v>219</v>
      </c>
      <c r="B16" s="260"/>
      <c r="C16" s="261"/>
      <c r="D16" s="41">
        <f t="shared" ref="D16:N16" si="1">SUM(D7:D15)</f>
        <v>4</v>
      </c>
      <c r="E16" s="43">
        <f t="shared" si="1"/>
        <v>377</v>
      </c>
      <c r="F16" s="43">
        <f t="shared" si="1"/>
        <v>439</v>
      </c>
      <c r="G16" s="43">
        <f t="shared" si="1"/>
        <v>94</v>
      </c>
      <c r="H16" s="43">
        <f t="shared" si="1"/>
        <v>345</v>
      </c>
      <c r="I16" s="43">
        <f t="shared" si="1"/>
        <v>0</v>
      </c>
      <c r="J16" s="43">
        <f t="shared" si="1"/>
        <v>0</v>
      </c>
      <c r="K16" s="43">
        <f t="shared" si="1"/>
        <v>0</v>
      </c>
      <c r="L16" s="43">
        <f t="shared" si="1"/>
        <v>0</v>
      </c>
      <c r="M16" s="43">
        <f t="shared" si="1"/>
        <v>0</v>
      </c>
      <c r="N16" s="43">
        <f t="shared" si="1"/>
        <v>0</v>
      </c>
      <c r="O16" s="370"/>
    </row>
    <row r="17" spans="1:15">
      <c r="A17" s="67" t="s">
        <v>220</v>
      </c>
      <c r="B17" s="68"/>
      <c r="C17" s="69"/>
      <c r="D17" s="68"/>
      <c r="E17" s="68"/>
      <c r="F17" s="70"/>
      <c r="G17" s="70"/>
      <c r="H17" s="70"/>
      <c r="I17" s="70"/>
      <c r="J17" s="70"/>
      <c r="K17" s="70"/>
      <c r="L17" s="70"/>
      <c r="M17" s="70"/>
      <c r="N17" s="70"/>
      <c r="O17" s="370"/>
    </row>
    <row r="18" spans="1:15">
      <c r="A18" s="530" t="s">
        <v>383</v>
      </c>
      <c r="B18" s="259"/>
      <c r="C18" s="44">
        <v>253</v>
      </c>
      <c r="D18" s="45"/>
      <c r="E18" s="258">
        <v>500</v>
      </c>
      <c r="F18" s="350">
        <f>SUM(G18:M18)</f>
        <v>500</v>
      </c>
      <c r="G18" s="304">
        <v>0</v>
      </c>
      <c r="H18" s="304">
        <v>500</v>
      </c>
      <c r="I18" s="304">
        <v>0</v>
      </c>
      <c r="J18" s="304">
        <v>0</v>
      </c>
      <c r="K18" s="304">
        <v>0</v>
      </c>
      <c r="L18" s="304">
        <v>0</v>
      </c>
      <c r="M18" s="305">
        <v>0</v>
      </c>
      <c r="N18" s="348" t="s">
        <v>384</v>
      </c>
      <c r="O18" s="370"/>
    </row>
    <row r="19" spans="1:15">
      <c r="A19" s="530" t="s">
        <v>385</v>
      </c>
      <c r="B19" s="259"/>
      <c r="C19" s="44">
        <v>253</v>
      </c>
      <c r="D19" s="45"/>
      <c r="E19" s="258">
        <v>50</v>
      </c>
      <c r="F19" s="350">
        <f>SUM(G19:M19)</f>
        <v>50</v>
      </c>
      <c r="G19" s="304">
        <v>0</v>
      </c>
      <c r="H19" s="304">
        <v>50</v>
      </c>
      <c r="I19" s="304">
        <v>0</v>
      </c>
      <c r="J19" s="304">
        <v>0</v>
      </c>
      <c r="K19" s="304">
        <v>0</v>
      </c>
      <c r="L19" s="304">
        <v>0</v>
      </c>
      <c r="M19" s="305">
        <v>0</v>
      </c>
      <c r="N19" s="348" t="s">
        <v>384</v>
      </c>
      <c r="O19" s="370"/>
    </row>
    <row r="20" spans="1:15">
      <c r="A20" s="530" t="s">
        <v>386</v>
      </c>
      <c r="B20" s="259"/>
      <c r="C20" s="44">
        <v>253</v>
      </c>
      <c r="D20" s="262"/>
      <c r="E20" s="258">
        <v>500</v>
      </c>
      <c r="F20" s="350">
        <f>SUM(G20:M20)</f>
        <v>500</v>
      </c>
      <c r="G20" s="304">
        <v>0</v>
      </c>
      <c r="H20" s="304">
        <v>500</v>
      </c>
      <c r="I20" s="304">
        <v>0</v>
      </c>
      <c r="J20" s="304">
        <v>0</v>
      </c>
      <c r="K20" s="304">
        <v>0</v>
      </c>
      <c r="L20" s="304">
        <v>0</v>
      </c>
      <c r="M20" s="305">
        <v>0</v>
      </c>
      <c r="N20" s="348" t="s">
        <v>384</v>
      </c>
      <c r="O20" s="370"/>
    </row>
    <row r="21" spans="1:15" s="7" customFormat="1">
      <c r="A21" s="259" t="s">
        <v>224</v>
      </c>
      <c r="B21" s="259"/>
      <c r="C21" s="44">
        <v>253</v>
      </c>
      <c r="D21" s="262"/>
      <c r="E21" s="258">
        <v>0</v>
      </c>
      <c r="F21" s="350">
        <f>SUM(G21:M21)</f>
        <v>0</v>
      </c>
      <c r="G21" s="304">
        <v>0</v>
      </c>
      <c r="H21" s="304">
        <v>0</v>
      </c>
      <c r="I21" s="304">
        <v>0</v>
      </c>
      <c r="J21" s="304">
        <v>0</v>
      </c>
      <c r="K21" s="304">
        <v>0</v>
      </c>
      <c r="L21" s="304">
        <v>0</v>
      </c>
      <c r="M21" s="305">
        <v>0</v>
      </c>
      <c r="N21" s="318"/>
      <c r="O21" s="531"/>
    </row>
    <row r="22" spans="1:15">
      <c r="A22" s="40" t="s">
        <v>225</v>
      </c>
      <c r="B22" s="260"/>
      <c r="C22" s="261"/>
      <c r="D22" s="262">
        <f>SUM(D18:D21)</f>
        <v>0</v>
      </c>
      <c r="E22" s="301">
        <f>SUM(E18:E21)</f>
        <v>1050</v>
      </c>
      <c r="F22" s="301">
        <f>SUM(F18:F21)</f>
        <v>1050</v>
      </c>
      <c r="G22" s="301">
        <f t="shared" ref="G22:M22" si="2">SUM(G18:G21)</f>
        <v>0</v>
      </c>
      <c r="H22" s="301">
        <f t="shared" si="2"/>
        <v>1050</v>
      </c>
      <c r="I22" s="301">
        <f t="shared" si="2"/>
        <v>0</v>
      </c>
      <c r="J22" s="301">
        <f t="shared" si="2"/>
        <v>0</v>
      </c>
      <c r="K22" s="301">
        <f t="shared" si="2"/>
        <v>0</v>
      </c>
      <c r="L22" s="301">
        <f t="shared" si="2"/>
        <v>0</v>
      </c>
      <c r="M22" s="301">
        <f t="shared" si="2"/>
        <v>0</v>
      </c>
      <c r="N22" s="348"/>
      <c r="O22" s="370"/>
    </row>
    <row r="23" spans="1:15" s="7" customFormat="1">
      <c r="A23" s="125" t="s">
        <v>226</v>
      </c>
      <c r="B23" s="126"/>
      <c r="C23" s="126"/>
      <c r="D23" s="126"/>
      <c r="E23" s="87"/>
      <c r="F23" s="87"/>
      <c r="G23" s="87"/>
      <c r="H23" s="87"/>
      <c r="I23" s="87"/>
      <c r="J23" s="87"/>
      <c r="K23" s="87"/>
      <c r="L23" s="87"/>
      <c r="M23" s="87"/>
      <c r="N23" s="128"/>
      <c r="O23" s="351"/>
    </row>
    <row r="24" spans="1:15" ht="29">
      <c r="A24" s="259" t="s">
        <v>227</v>
      </c>
      <c r="B24" s="36"/>
      <c r="C24" s="37" t="s">
        <v>228</v>
      </c>
      <c r="D24" s="38">
        <v>0</v>
      </c>
      <c r="E24" s="258">
        <v>24</v>
      </c>
      <c r="F24" s="303">
        <f t="shared" ref="F24:F37" si="3">SUM(G24:M24)</f>
        <v>24</v>
      </c>
      <c r="G24" s="304">
        <v>6</v>
      </c>
      <c r="H24" s="304">
        <f>24-6</f>
        <v>18</v>
      </c>
      <c r="I24" s="304">
        <v>0</v>
      </c>
      <c r="J24" s="304">
        <v>0</v>
      </c>
      <c r="K24" s="304">
        <v>0</v>
      </c>
      <c r="L24" s="304">
        <v>0</v>
      </c>
      <c r="M24" s="305">
        <v>0</v>
      </c>
      <c r="N24" s="318" t="s">
        <v>1185</v>
      </c>
      <c r="O24" s="370"/>
    </row>
    <row r="25" spans="1:15">
      <c r="A25" s="259" t="s">
        <v>229</v>
      </c>
      <c r="B25" s="36"/>
      <c r="C25" s="44" t="s">
        <v>230</v>
      </c>
      <c r="D25" s="45"/>
      <c r="E25" s="258">
        <v>0</v>
      </c>
      <c r="F25" s="303">
        <f t="shared" si="3"/>
        <v>0</v>
      </c>
      <c r="G25" s="304">
        <v>0</v>
      </c>
      <c r="H25" s="304">
        <v>0</v>
      </c>
      <c r="I25" s="304">
        <v>0</v>
      </c>
      <c r="J25" s="304">
        <v>0</v>
      </c>
      <c r="K25" s="304">
        <v>0</v>
      </c>
      <c r="L25" s="304">
        <v>0</v>
      </c>
      <c r="M25" s="305">
        <v>0</v>
      </c>
      <c r="N25" s="348"/>
      <c r="O25" s="370"/>
    </row>
    <row r="26" spans="1:15">
      <c r="A26" s="259" t="s">
        <v>231</v>
      </c>
      <c r="B26" s="36"/>
      <c r="C26" s="44" t="s">
        <v>232</v>
      </c>
      <c r="D26" s="45"/>
      <c r="E26" s="258">
        <v>0</v>
      </c>
      <c r="F26" s="303">
        <f t="shared" si="3"/>
        <v>0</v>
      </c>
      <c r="G26" s="304">
        <v>0</v>
      </c>
      <c r="H26" s="304">
        <v>0</v>
      </c>
      <c r="I26" s="304">
        <v>0</v>
      </c>
      <c r="J26" s="304">
        <v>0</v>
      </c>
      <c r="K26" s="304">
        <v>0</v>
      </c>
      <c r="L26" s="304">
        <v>0</v>
      </c>
      <c r="M26" s="305">
        <v>0</v>
      </c>
      <c r="N26" s="348"/>
      <c r="O26" s="370"/>
    </row>
    <row r="27" spans="1:15">
      <c r="A27" s="259" t="s">
        <v>233</v>
      </c>
      <c r="B27" s="36"/>
      <c r="C27" s="44" t="s">
        <v>234</v>
      </c>
      <c r="D27" s="45"/>
      <c r="E27" s="258">
        <v>0</v>
      </c>
      <c r="F27" s="303">
        <f t="shared" si="3"/>
        <v>0</v>
      </c>
      <c r="G27" s="304">
        <v>0</v>
      </c>
      <c r="H27" s="304">
        <v>0</v>
      </c>
      <c r="I27" s="304">
        <v>0</v>
      </c>
      <c r="J27" s="304">
        <v>0</v>
      </c>
      <c r="K27" s="304">
        <v>0</v>
      </c>
      <c r="L27" s="304">
        <v>0</v>
      </c>
      <c r="M27" s="305">
        <v>0</v>
      </c>
      <c r="N27" s="348"/>
      <c r="O27" s="370"/>
    </row>
    <row r="28" spans="1:15">
      <c r="A28" s="259" t="s">
        <v>235</v>
      </c>
      <c r="B28" s="36"/>
      <c r="C28" s="44">
        <v>251</v>
      </c>
      <c r="D28" s="45"/>
      <c r="E28" s="258">
        <v>0</v>
      </c>
      <c r="F28" s="303">
        <f t="shared" si="3"/>
        <v>0</v>
      </c>
      <c r="G28" s="304">
        <v>0</v>
      </c>
      <c r="H28" s="304">
        <v>0</v>
      </c>
      <c r="I28" s="304">
        <v>0</v>
      </c>
      <c r="J28" s="304">
        <v>0</v>
      </c>
      <c r="K28" s="304">
        <v>0</v>
      </c>
      <c r="L28" s="304">
        <v>0</v>
      </c>
      <c r="M28" s="305">
        <v>0</v>
      </c>
      <c r="N28" s="348"/>
      <c r="O28" s="370"/>
    </row>
    <row r="29" spans="1:15">
      <c r="A29" s="259" t="s">
        <v>242</v>
      </c>
      <c r="B29" s="36"/>
      <c r="C29" s="44">
        <v>252</v>
      </c>
      <c r="D29" s="45"/>
      <c r="E29" s="258">
        <v>0</v>
      </c>
      <c r="F29" s="303">
        <f t="shared" si="3"/>
        <v>0</v>
      </c>
      <c r="G29" s="304">
        <v>0</v>
      </c>
      <c r="H29" s="304"/>
      <c r="I29" s="304">
        <v>0</v>
      </c>
      <c r="J29" s="304">
        <v>0</v>
      </c>
      <c r="K29" s="304">
        <v>0</v>
      </c>
      <c r="L29" s="304">
        <v>0</v>
      </c>
      <c r="M29" s="305">
        <v>0</v>
      </c>
      <c r="N29" s="348"/>
      <c r="O29" s="370"/>
    </row>
    <row r="30" spans="1:15" s="370" customFormat="1" ht="29">
      <c r="A30" s="483" t="s">
        <v>242</v>
      </c>
      <c r="B30" s="785" t="s">
        <v>1186</v>
      </c>
      <c r="C30" s="44">
        <v>252</v>
      </c>
      <c r="D30" s="45"/>
      <c r="E30" s="258">
        <v>3</v>
      </c>
      <c r="F30" s="303">
        <f t="shared" si="3"/>
        <v>43</v>
      </c>
      <c r="G30" s="304">
        <v>0</v>
      </c>
      <c r="H30" s="304">
        <f>3+40</f>
        <v>43</v>
      </c>
      <c r="I30" s="304">
        <v>0</v>
      </c>
      <c r="J30" s="304">
        <v>0</v>
      </c>
      <c r="K30" s="304">
        <v>0</v>
      </c>
      <c r="L30" s="304">
        <v>0</v>
      </c>
      <c r="M30" s="305">
        <v>0</v>
      </c>
      <c r="N30" s="318" t="s">
        <v>1187</v>
      </c>
      <c r="O30" s="307"/>
    </row>
    <row r="31" spans="1:15">
      <c r="A31" s="259" t="s">
        <v>243</v>
      </c>
      <c r="B31" s="36"/>
      <c r="C31" s="44">
        <v>252</v>
      </c>
      <c r="D31" s="45"/>
      <c r="E31" s="258">
        <v>2</v>
      </c>
      <c r="F31" s="303">
        <f t="shared" si="3"/>
        <v>2</v>
      </c>
      <c r="G31" s="304">
        <v>0</v>
      </c>
      <c r="H31" s="304">
        <v>2</v>
      </c>
      <c r="I31" s="304">
        <v>0</v>
      </c>
      <c r="J31" s="304">
        <v>0</v>
      </c>
      <c r="K31" s="304">
        <v>0</v>
      </c>
      <c r="L31" s="304">
        <v>0</v>
      </c>
      <c r="M31" s="305">
        <v>0</v>
      </c>
      <c r="N31" s="345" t="s">
        <v>387</v>
      </c>
      <c r="O31" s="370"/>
    </row>
    <row r="32" spans="1:15">
      <c r="A32" s="259" t="s">
        <v>244</v>
      </c>
      <c r="B32" s="36"/>
      <c r="C32" s="44">
        <v>253</v>
      </c>
      <c r="D32" s="259"/>
      <c r="E32" s="258">
        <v>0</v>
      </c>
      <c r="F32" s="303">
        <f t="shared" si="3"/>
        <v>0</v>
      </c>
      <c r="G32" s="304">
        <v>0</v>
      </c>
      <c r="H32" s="304">
        <v>0</v>
      </c>
      <c r="I32" s="304">
        <v>0</v>
      </c>
      <c r="J32" s="304">
        <v>0</v>
      </c>
      <c r="K32" s="304">
        <v>0</v>
      </c>
      <c r="L32" s="304">
        <v>0</v>
      </c>
      <c r="M32" s="305">
        <v>0</v>
      </c>
      <c r="N32" s="348"/>
      <c r="O32" s="370"/>
    </row>
    <row r="33" spans="1:15">
      <c r="A33" s="259" t="s">
        <v>245</v>
      </c>
      <c r="B33" s="36"/>
      <c r="C33" s="44">
        <v>255</v>
      </c>
      <c r="D33" s="259"/>
      <c r="E33" s="258">
        <v>0</v>
      </c>
      <c r="F33" s="303">
        <f t="shared" si="3"/>
        <v>0</v>
      </c>
      <c r="G33" s="304">
        <v>0</v>
      </c>
      <c r="H33" s="304">
        <v>0</v>
      </c>
      <c r="I33" s="304">
        <v>0</v>
      </c>
      <c r="J33" s="304">
        <v>0</v>
      </c>
      <c r="K33" s="304">
        <v>0</v>
      </c>
      <c r="L33" s="304">
        <v>0</v>
      </c>
      <c r="M33" s="305">
        <v>0</v>
      </c>
      <c r="N33" s="348"/>
      <c r="O33" s="370"/>
    </row>
    <row r="34" spans="1:15">
      <c r="A34" s="259" t="s">
        <v>246</v>
      </c>
      <c r="B34" s="36"/>
      <c r="C34" s="44">
        <v>256</v>
      </c>
      <c r="D34" s="259"/>
      <c r="E34" s="258">
        <v>0</v>
      </c>
      <c r="F34" s="303">
        <f t="shared" si="3"/>
        <v>0</v>
      </c>
      <c r="G34" s="304">
        <v>0</v>
      </c>
      <c r="H34" s="304">
        <v>0</v>
      </c>
      <c r="I34" s="304">
        <v>0</v>
      </c>
      <c r="J34" s="304">
        <v>0</v>
      </c>
      <c r="K34" s="304">
        <v>0</v>
      </c>
      <c r="L34" s="304">
        <v>0</v>
      </c>
      <c r="M34" s="305">
        <v>0</v>
      </c>
      <c r="N34" s="348"/>
      <c r="O34" s="370"/>
    </row>
    <row r="35" spans="1:15" ht="58">
      <c r="A35" s="259" t="s">
        <v>247</v>
      </c>
      <c r="B35" s="36"/>
      <c r="C35" s="44">
        <v>257</v>
      </c>
      <c r="D35" s="259"/>
      <c r="E35" s="258">
        <v>6</v>
      </c>
      <c r="F35" s="303">
        <f t="shared" si="3"/>
        <v>6</v>
      </c>
      <c r="G35" s="304">
        <v>0</v>
      </c>
      <c r="H35" s="304">
        <v>6</v>
      </c>
      <c r="I35" s="304">
        <v>0</v>
      </c>
      <c r="J35" s="304">
        <v>0</v>
      </c>
      <c r="K35" s="304">
        <v>0</v>
      </c>
      <c r="L35" s="304">
        <v>0</v>
      </c>
      <c r="M35" s="305">
        <v>0</v>
      </c>
      <c r="N35" s="318" t="s">
        <v>1188</v>
      </c>
      <c r="O35" s="370"/>
    </row>
    <row r="36" spans="1:15">
      <c r="A36" s="259" t="s">
        <v>248</v>
      </c>
      <c r="B36" s="36"/>
      <c r="C36" s="44" t="s">
        <v>249</v>
      </c>
      <c r="D36" s="259"/>
      <c r="E36" s="258">
        <v>10</v>
      </c>
      <c r="F36" s="303">
        <f t="shared" si="3"/>
        <v>10</v>
      </c>
      <c r="G36" s="304">
        <v>0</v>
      </c>
      <c r="H36" s="304">
        <v>10</v>
      </c>
      <c r="I36" s="304">
        <v>0</v>
      </c>
      <c r="J36" s="304">
        <v>0</v>
      </c>
      <c r="K36" s="304">
        <v>0</v>
      </c>
      <c r="L36" s="304">
        <v>0</v>
      </c>
      <c r="M36" s="305">
        <v>0</v>
      </c>
      <c r="N36" s="345" t="s">
        <v>387</v>
      </c>
      <c r="O36" s="370"/>
    </row>
    <row r="37" spans="1:15" ht="29">
      <c r="A37" s="260" t="s">
        <v>250</v>
      </c>
      <c r="B37" s="36"/>
      <c r="C37" s="261" t="s">
        <v>251</v>
      </c>
      <c r="D37" s="260"/>
      <c r="E37" s="258">
        <v>6</v>
      </c>
      <c r="F37" s="303">
        <f t="shared" si="3"/>
        <v>6</v>
      </c>
      <c r="G37" s="304">
        <v>0</v>
      </c>
      <c r="H37" s="304">
        <v>6</v>
      </c>
      <c r="I37" s="304">
        <v>0</v>
      </c>
      <c r="J37" s="304">
        <v>0</v>
      </c>
      <c r="K37" s="304">
        <v>0</v>
      </c>
      <c r="L37" s="304">
        <v>0</v>
      </c>
      <c r="M37" s="305">
        <v>0</v>
      </c>
      <c r="N37" s="318" t="s">
        <v>388</v>
      </c>
      <c r="O37" s="376"/>
    </row>
    <row r="38" spans="1:15">
      <c r="A38" s="40" t="s">
        <v>254</v>
      </c>
      <c r="B38" s="260"/>
      <c r="C38" s="261"/>
      <c r="D38" s="262"/>
      <c r="E38" s="43">
        <f>SUM(E24:E37)-E29</f>
        <v>51</v>
      </c>
      <c r="F38" s="43">
        <f>SUM(F24:F37)-F29</f>
        <v>91</v>
      </c>
      <c r="G38" s="43">
        <f t="shared" ref="G38:L38" si="4">SUM(G24:G37)-G29</f>
        <v>6</v>
      </c>
      <c r="H38" s="43">
        <f t="shared" si="4"/>
        <v>85</v>
      </c>
      <c r="I38" s="43">
        <f t="shared" si="4"/>
        <v>0</v>
      </c>
      <c r="J38" s="43">
        <f t="shared" si="4"/>
        <v>0</v>
      </c>
      <c r="K38" s="43">
        <f t="shared" si="4"/>
        <v>0</v>
      </c>
      <c r="L38" s="43">
        <f t="shared" si="4"/>
        <v>0</v>
      </c>
      <c r="M38" s="43">
        <f>SUM(M24:M37)-M29</f>
        <v>0</v>
      </c>
      <c r="N38" s="348"/>
      <c r="O38" s="370"/>
    </row>
    <row r="39" spans="1:15" s="149" customFormat="1" ht="29">
      <c r="A39" s="40" t="s">
        <v>255</v>
      </c>
      <c r="B39" s="51"/>
      <c r="C39" s="147"/>
      <c r="D39" s="262"/>
      <c r="E39" s="236">
        <v>0</v>
      </c>
      <c r="F39" s="235">
        <f>SUM(G39:L39)</f>
        <v>0</v>
      </c>
      <c r="G39" s="235"/>
      <c r="H39" s="235"/>
      <c r="I39" s="235"/>
      <c r="J39" s="235"/>
      <c r="K39" s="235"/>
      <c r="L39" s="235"/>
      <c r="M39" s="235"/>
      <c r="N39" s="318" t="s">
        <v>389</v>
      </c>
      <c r="O39" s="370"/>
    </row>
    <row r="40" spans="1:15">
      <c r="A40" s="40" t="s">
        <v>256</v>
      </c>
      <c r="B40" s="46"/>
      <c r="C40" s="47"/>
      <c r="D40" s="48">
        <f>D38+D22+D16</f>
        <v>4</v>
      </c>
      <c r="E40" s="17">
        <f>E38+E16-E39</f>
        <v>428</v>
      </c>
      <c r="F40" s="17">
        <f>F38+F16-F39</f>
        <v>530</v>
      </c>
      <c r="G40" s="17">
        <f>G38+G16-G39</f>
        <v>100</v>
      </c>
      <c r="H40" s="17">
        <f>H38+H16-H39</f>
        <v>430</v>
      </c>
      <c r="I40" s="17">
        <f>I38+I22+I16-I39</f>
        <v>0</v>
      </c>
      <c r="J40" s="17">
        <f>J38+J22+J16-J39</f>
        <v>0</v>
      </c>
      <c r="K40" s="17">
        <f>K38+K22+K16-K39</f>
        <v>0</v>
      </c>
      <c r="L40" s="17">
        <f>L38+L22+L16-L39</f>
        <v>0</v>
      </c>
      <c r="M40" s="17">
        <f>M38+M22+M16-M39</f>
        <v>0</v>
      </c>
      <c r="N40" s="346"/>
      <c r="O40" s="370"/>
    </row>
    <row r="42" spans="1:15">
      <c r="A42" s="921" t="s">
        <v>390</v>
      </c>
      <c r="B42" s="922"/>
      <c r="C42" s="922"/>
      <c r="D42" s="922"/>
      <c r="E42" s="923"/>
      <c r="F42" s="303" t="s">
        <v>391</v>
      </c>
      <c r="G42" s="304" t="s">
        <v>0</v>
      </c>
      <c r="H42" s="304" t="s">
        <v>1</v>
      </c>
      <c r="I42" s="304" t="s">
        <v>2</v>
      </c>
      <c r="J42" s="304" t="s">
        <v>3</v>
      </c>
      <c r="K42" s="304" t="s">
        <v>4</v>
      </c>
      <c r="L42" s="304" t="s">
        <v>26</v>
      </c>
      <c r="M42" s="305"/>
      <c r="N42" s="348" t="s">
        <v>215</v>
      </c>
      <c r="O42" s="370"/>
    </row>
    <row r="43" spans="1:15">
      <c r="A43" s="924" t="s">
        <v>392</v>
      </c>
      <c r="B43" s="925"/>
      <c r="C43" s="925"/>
      <c r="D43" s="926"/>
      <c r="E43" s="89"/>
      <c r="F43" s="86"/>
      <c r="G43" s="88">
        <v>0.39</v>
      </c>
      <c r="H43" s="88">
        <v>0.41</v>
      </c>
      <c r="I43" s="88">
        <v>0.06</v>
      </c>
      <c r="J43" s="88">
        <v>0.14000000000000001</v>
      </c>
      <c r="K43" s="88"/>
      <c r="L43" s="88"/>
      <c r="M43" s="86"/>
      <c r="N43" s="87"/>
      <c r="O43" s="370"/>
    </row>
    <row r="44" spans="1:15" ht="18" customHeight="1" thickBot="1">
      <c r="A44" s="915" t="s">
        <v>393</v>
      </c>
      <c r="B44" s="916"/>
      <c r="C44" s="916"/>
      <c r="D44" s="917"/>
      <c r="E44" s="81"/>
      <c r="F44" s="82">
        <f>F40</f>
        <v>530</v>
      </c>
      <c r="G44" s="83">
        <f t="shared" ref="G44:M44" si="5">$F44*G43</f>
        <v>206.70000000000002</v>
      </c>
      <c r="H44" s="83">
        <f t="shared" si="5"/>
        <v>217.29999999999998</v>
      </c>
      <c r="I44" s="83">
        <f t="shared" si="5"/>
        <v>31.799999999999997</v>
      </c>
      <c r="J44" s="83">
        <f t="shared" si="5"/>
        <v>74.2</v>
      </c>
      <c r="K44" s="83">
        <f t="shared" si="5"/>
        <v>0</v>
      </c>
      <c r="L44" s="83">
        <f t="shared" si="5"/>
        <v>0</v>
      </c>
      <c r="M44" s="84">
        <f t="shared" si="5"/>
        <v>0</v>
      </c>
      <c r="N44" s="85"/>
      <c r="O44" s="370"/>
    </row>
    <row r="45" spans="1:15">
      <c r="A45" s="918" t="s">
        <v>394</v>
      </c>
      <c r="B45" s="919"/>
      <c r="C45" s="919"/>
      <c r="D45" s="920"/>
      <c r="E45" s="76"/>
      <c r="F45" s="77"/>
      <c r="G45" s="78">
        <f t="shared" ref="G45:M45" si="6">G40-G44</f>
        <v>-106.70000000000002</v>
      </c>
      <c r="H45" s="78">
        <f t="shared" si="6"/>
        <v>212.70000000000002</v>
      </c>
      <c r="I45" s="78">
        <f t="shared" si="6"/>
        <v>-31.799999999999997</v>
      </c>
      <c r="J45" s="78">
        <f t="shared" si="6"/>
        <v>-74.2</v>
      </c>
      <c r="K45" s="78">
        <f t="shared" si="6"/>
        <v>0</v>
      </c>
      <c r="L45" s="78">
        <f t="shared" si="6"/>
        <v>0</v>
      </c>
      <c r="M45" s="79">
        <f t="shared" si="6"/>
        <v>0</v>
      </c>
      <c r="N45" s="80"/>
      <c r="O45" s="370"/>
    </row>
    <row r="47" spans="1:15">
      <c r="A47" s="370"/>
      <c r="B47" s="370"/>
      <c r="C47" s="639"/>
      <c r="D47" s="370"/>
      <c r="E47" s="283" t="s">
        <v>1144</v>
      </c>
      <c r="F47" s="370" t="s">
        <v>0</v>
      </c>
      <c r="G47" s="29">
        <v>5682</v>
      </c>
      <c r="H47" s="665">
        <f>+G47/$G$51</f>
        <v>0.39205133512730284</v>
      </c>
      <c r="I47" s="53" t="s">
        <v>833</v>
      </c>
      <c r="J47" s="53"/>
      <c r="K47" s="53"/>
      <c r="L47" s="53"/>
      <c r="M47" s="53"/>
      <c r="N47" s="53"/>
      <c r="O47" s="370"/>
    </row>
    <row r="48" spans="1:15">
      <c r="A48" s="370"/>
      <c r="B48" s="370"/>
      <c r="C48" s="639"/>
      <c r="D48" s="370"/>
      <c r="E48" s="370"/>
      <c r="F48" s="370" t="s">
        <v>1</v>
      </c>
      <c r="G48" s="29">
        <v>6017</v>
      </c>
      <c r="H48" s="665">
        <f>+G48/$G$51</f>
        <v>0.41516594217898295</v>
      </c>
      <c r="I48" s="370"/>
      <c r="J48" s="370"/>
      <c r="K48" s="370"/>
      <c r="L48" s="370"/>
      <c r="M48" s="370"/>
      <c r="N48" s="370"/>
      <c r="O48" s="370"/>
    </row>
    <row r="49" spans="1:21">
      <c r="A49" s="370"/>
      <c r="B49" s="370"/>
      <c r="C49" s="639"/>
      <c r="D49" s="370"/>
      <c r="E49" s="370"/>
      <c r="F49" s="370" t="s">
        <v>2</v>
      </c>
      <c r="G49" s="29">
        <v>904</v>
      </c>
      <c r="H49" s="665">
        <f>+G49/$G$51</f>
        <v>6.237493962602636E-2</v>
      </c>
      <c r="I49" s="370"/>
      <c r="J49" s="370"/>
      <c r="K49" s="370"/>
      <c r="L49" s="370"/>
      <c r="M49" s="370"/>
      <c r="N49" s="370"/>
    </row>
    <row r="50" spans="1:21">
      <c r="A50" s="370"/>
      <c r="B50" s="370"/>
      <c r="C50" s="639"/>
      <c r="D50" s="370"/>
      <c r="E50" s="370"/>
      <c r="F50" s="370" t="s">
        <v>3</v>
      </c>
      <c r="G50" s="29">
        <v>1890</v>
      </c>
      <c r="H50" s="665">
        <f>+G50/$G$51</f>
        <v>0.13040778306768785</v>
      </c>
      <c r="I50" s="370"/>
      <c r="J50" s="370"/>
      <c r="K50" s="370"/>
      <c r="L50" s="370"/>
      <c r="M50" s="370"/>
      <c r="N50" s="370"/>
    </row>
    <row r="51" spans="1:21">
      <c r="A51" s="370"/>
      <c r="B51" s="370"/>
      <c r="C51" s="639"/>
      <c r="D51" s="370"/>
      <c r="E51" s="370"/>
      <c r="F51" s="370"/>
      <c r="G51" s="370">
        <f>SUM(G47:G50)</f>
        <v>14493</v>
      </c>
      <c r="H51" s="370"/>
      <c r="I51" s="370"/>
      <c r="J51" s="370"/>
      <c r="K51" s="370"/>
      <c r="L51" s="370"/>
      <c r="M51" s="370"/>
      <c r="N51" s="370"/>
    </row>
    <row r="52" spans="1:21" ht="15" thickBot="1"/>
    <row r="53" spans="1:21" s="370" customFormat="1" ht="15" thickBot="1">
      <c r="A53" s="31"/>
      <c r="B53" s="31"/>
      <c r="C53" s="32"/>
      <c r="D53" s="31"/>
      <c r="E53" s="31"/>
      <c r="F53" s="31"/>
      <c r="G53" s="31"/>
      <c r="H53" s="31"/>
      <c r="I53" s="31"/>
      <c r="J53" s="927" t="s">
        <v>1189</v>
      </c>
      <c r="K53" s="928"/>
      <c r="L53" s="928"/>
      <c r="M53" s="929"/>
      <c r="N53" s="777"/>
      <c r="O53" s="910" t="s">
        <v>746</v>
      </c>
      <c r="P53" s="911"/>
      <c r="Q53" s="912"/>
      <c r="S53" s="783" t="s">
        <v>297</v>
      </c>
      <c r="T53" s="784" t="s">
        <v>747</v>
      </c>
      <c r="U53" s="784" t="s">
        <v>748</v>
      </c>
    </row>
    <row r="54" spans="1:21" s="370" customFormat="1" ht="43.5">
      <c r="A54" s="873" t="s">
        <v>257</v>
      </c>
      <c r="B54" s="874"/>
      <c r="C54" s="874"/>
      <c r="D54" s="874"/>
      <c r="E54" s="874"/>
      <c r="F54" s="874"/>
      <c r="G54" s="550"/>
      <c r="H54" s="31"/>
      <c r="I54" s="31"/>
      <c r="J54" s="788" t="s">
        <v>297</v>
      </c>
      <c r="K54" s="789" t="s">
        <v>749</v>
      </c>
      <c r="L54" s="35" t="s">
        <v>750</v>
      </c>
      <c r="M54" s="790" t="s">
        <v>751</v>
      </c>
      <c r="N54" s="777"/>
      <c r="O54" s="913" t="s">
        <v>752</v>
      </c>
      <c r="P54" s="914"/>
      <c r="Q54" s="780">
        <v>439</v>
      </c>
      <c r="S54" s="778" t="s">
        <v>0</v>
      </c>
      <c r="T54" s="799">
        <v>0.39</v>
      </c>
      <c r="U54" s="800">
        <f>SUM(Q56*T54)</f>
        <v>206.70000000000002</v>
      </c>
    </row>
    <row r="55" spans="1:21" s="370" customFormat="1" ht="15.5">
      <c r="A55" s="875"/>
      <c r="B55" s="876"/>
      <c r="C55" s="876"/>
      <c r="D55" s="876"/>
      <c r="E55" s="876"/>
      <c r="F55" s="876"/>
      <c r="G55" s="551"/>
      <c r="H55" s="31"/>
      <c r="I55" s="31"/>
      <c r="J55" s="791" t="s">
        <v>0</v>
      </c>
      <c r="K55" s="792">
        <v>1295</v>
      </c>
      <c r="L55" s="793">
        <v>5279</v>
      </c>
      <c r="M55" s="794">
        <v>0.39</v>
      </c>
      <c r="N55" s="777"/>
      <c r="O55" s="913" t="s">
        <v>753</v>
      </c>
      <c r="P55" s="914"/>
      <c r="Q55" s="780">
        <v>91</v>
      </c>
      <c r="S55" s="778" t="s">
        <v>1</v>
      </c>
      <c r="T55" s="799">
        <v>0.41</v>
      </c>
      <c r="U55" s="800">
        <f>SUM(Q56*T55)</f>
        <v>217.29999999999998</v>
      </c>
    </row>
    <row r="56" spans="1:21" s="370" customFormat="1" ht="55.5" customHeight="1">
      <c r="A56" s="877" t="s">
        <v>258</v>
      </c>
      <c r="B56" s="878"/>
      <c r="C56" s="552"/>
      <c r="D56" s="552"/>
      <c r="E56" s="552"/>
      <c r="F56" s="552"/>
      <c r="G56" s="551"/>
      <c r="H56" s="31"/>
      <c r="I56" s="31"/>
      <c r="J56" s="791" t="s">
        <v>1</v>
      </c>
      <c r="K56" s="792">
        <v>1490</v>
      </c>
      <c r="L56" s="793">
        <v>5649</v>
      </c>
      <c r="M56" s="794">
        <v>0.41</v>
      </c>
      <c r="N56" s="777"/>
      <c r="O56" s="778" t="s">
        <v>754</v>
      </c>
      <c r="P56" s="779" t="s">
        <v>932</v>
      </c>
      <c r="Q56" s="780">
        <f>+Q54+Q55</f>
        <v>530</v>
      </c>
      <c r="S56" s="778" t="s">
        <v>2</v>
      </c>
      <c r="T56" s="799">
        <v>0.06</v>
      </c>
      <c r="U56" s="800">
        <f>SUM(Q56*T56)</f>
        <v>31.799999999999997</v>
      </c>
    </row>
    <row r="57" spans="1:21" s="370" customFormat="1">
      <c r="A57" s="553" t="s">
        <v>1028</v>
      </c>
      <c r="B57" s="554">
        <v>357</v>
      </c>
      <c r="C57" s="555"/>
      <c r="D57" s="556"/>
      <c r="E57" s="556"/>
      <c r="F57" s="556"/>
      <c r="G57" s="551"/>
      <c r="H57" s="31"/>
      <c r="I57" s="31"/>
      <c r="J57" s="791" t="s">
        <v>2</v>
      </c>
      <c r="K57" s="792">
        <v>399</v>
      </c>
      <c r="L57" s="793">
        <v>811</v>
      </c>
      <c r="M57" s="794">
        <v>0.06</v>
      </c>
      <c r="N57" s="777"/>
      <c r="S57" s="778" t="s">
        <v>3</v>
      </c>
      <c r="T57" s="799">
        <v>0.14000000000000001</v>
      </c>
      <c r="U57" s="800">
        <f>SUM(Q56*T57)</f>
        <v>74.2</v>
      </c>
    </row>
    <row r="58" spans="1:21" s="370" customFormat="1" ht="15" thickBot="1">
      <c r="A58" s="557" t="s">
        <v>1029</v>
      </c>
      <c r="B58" s="558">
        <v>362</v>
      </c>
      <c r="C58" s="555"/>
      <c r="D58" s="556"/>
      <c r="E58" s="556"/>
      <c r="F58" s="556"/>
      <c r="G58" s="551"/>
      <c r="H58" s="31"/>
      <c r="I58" s="31"/>
      <c r="J58" s="795" t="s">
        <v>3</v>
      </c>
      <c r="K58" s="796">
        <v>604</v>
      </c>
      <c r="L58" s="797">
        <v>1918</v>
      </c>
      <c r="M58" s="798">
        <v>0.14000000000000001</v>
      </c>
      <c r="N58" s="777"/>
      <c r="S58" s="778" t="s">
        <v>5</v>
      </c>
      <c r="T58" s="799">
        <v>1</v>
      </c>
      <c r="U58" s="793">
        <f>SUM(U54:U57)</f>
        <v>530</v>
      </c>
    </row>
    <row r="59" spans="1:21" s="370" customFormat="1">
      <c r="A59" s="559" t="s">
        <v>259</v>
      </c>
      <c r="B59" s="560">
        <f>B58-B57</f>
        <v>5</v>
      </c>
      <c r="C59" s="555"/>
      <c r="D59" s="556"/>
      <c r="E59" s="556"/>
      <c r="F59" s="556"/>
      <c r="G59" s="551"/>
      <c r="H59" s="31"/>
      <c r="I59" s="31"/>
      <c r="J59" s="572"/>
      <c r="K59" s="572"/>
      <c r="L59" s="572"/>
      <c r="M59" s="572"/>
      <c r="N59" s="574"/>
    </row>
    <row r="60" spans="1:21" s="370" customFormat="1">
      <c r="A60" s="559" t="s">
        <v>260</v>
      </c>
      <c r="B60" s="561">
        <f>B59/B57</f>
        <v>1.4005602240896359E-2</v>
      </c>
      <c r="C60" s="555"/>
      <c r="D60" s="556"/>
      <c r="E60" s="556"/>
      <c r="F60" s="556"/>
      <c r="G60" s="551"/>
      <c r="H60" s="31"/>
      <c r="I60" s="31"/>
      <c r="J60" s="572"/>
      <c r="K60" s="572"/>
      <c r="L60" s="572"/>
      <c r="M60" s="572"/>
      <c r="N60" s="574"/>
    </row>
    <row r="61" spans="1:21" s="370" customFormat="1">
      <c r="A61" s="562"/>
      <c r="B61" s="556"/>
      <c r="C61" s="660"/>
      <c r="D61" s="556"/>
      <c r="E61" s="556"/>
      <c r="F61" s="556"/>
      <c r="G61" s="551"/>
      <c r="H61" s="31"/>
      <c r="I61" s="31"/>
      <c r="J61" s="572"/>
      <c r="K61" s="572"/>
      <c r="L61" s="572"/>
      <c r="M61" s="572"/>
      <c r="N61" s="574"/>
    </row>
    <row r="62" spans="1:21" s="370" customFormat="1">
      <c r="A62" s="879" t="s">
        <v>261</v>
      </c>
      <c r="B62" s="880"/>
      <c r="C62" s="880"/>
      <c r="D62" s="880"/>
      <c r="E62" s="880"/>
      <c r="F62" s="880"/>
      <c r="G62" s="551"/>
      <c r="H62" s="31"/>
      <c r="I62" s="31"/>
      <c r="J62" s="572"/>
      <c r="K62" s="572"/>
      <c r="L62" s="572"/>
      <c r="M62" s="572"/>
      <c r="N62" s="574"/>
    </row>
    <row r="63" spans="1:21" s="370" customFormat="1" ht="94.25" customHeight="1">
      <c r="A63" s="881" t="s">
        <v>755</v>
      </c>
      <c r="B63" s="882"/>
      <c r="C63" s="882"/>
      <c r="D63" s="882"/>
      <c r="E63" s="882"/>
      <c r="F63" s="883"/>
      <c r="G63" s="551"/>
      <c r="H63" s="31"/>
      <c r="I63" s="31"/>
      <c r="J63" s="572"/>
      <c r="K63" s="572"/>
      <c r="L63" s="572"/>
      <c r="M63" s="572"/>
      <c r="N63" s="574"/>
    </row>
    <row r="64" spans="1:21" s="370" customFormat="1">
      <c r="A64" s="563"/>
      <c r="B64" s="564"/>
      <c r="C64" s="564"/>
      <c r="D64" s="564"/>
      <c r="E64" s="564"/>
      <c r="F64" s="564"/>
      <c r="G64" s="551"/>
      <c r="H64" s="31"/>
      <c r="I64" s="31"/>
      <c r="J64" s="572"/>
      <c r="K64" s="572"/>
      <c r="L64" s="572"/>
      <c r="M64" s="572"/>
      <c r="N64" s="574"/>
    </row>
    <row r="65" spans="1:14" s="370" customFormat="1">
      <c r="A65" s="565" t="s">
        <v>262</v>
      </c>
      <c r="B65" s="556"/>
      <c r="C65" s="716"/>
      <c r="D65" s="556"/>
      <c r="E65" s="556"/>
      <c r="F65" s="556"/>
      <c r="G65" s="551"/>
      <c r="H65" s="31"/>
      <c r="I65" s="31"/>
      <c r="J65" s="572"/>
      <c r="K65" s="572"/>
      <c r="L65" s="572"/>
      <c r="M65" s="572"/>
      <c r="N65" s="574"/>
    </row>
    <row r="66" spans="1:14" s="370" customFormat="1" ht="20" customHeight="1">
      <c r="A66" s="884" t="s">
        <v>756</v>
      </c>
      <c r="B66" s="885"/>
      <c r="C66" s="885"/>
      <c r="D66" s="885"/>
      <c r="E66" s="885"/>
      <c r="F66" s="886"/>
      <c r="G66" s="551"/>
      <c r="H66" s="31"/>
      <c r="I66" s="31"/>
      <c r="J66" s="572"/>
      <c r="K66" s="572"/>
      <c r="L66" s="572"/>
      <c r="M66" s="572"/>
      <c r="N66" s="574"/>
    </row>
    <row r="67" spans="1:14" s="370" customFormat="1">
      <c r="A67" s="562"/>
      <c r="B67" s="556"/>
      <c r="C67" s="716"/>
      <c r="D67" s="556"/>
      <c r="E67" s="556"/>
      <c r="F67" s="556"/>
      <c r="G67" s="551"/>
      <c r="H67" s="31"/>
      <c r="I67" s="31"/>
      <c r="J67" s="572"/>
      <c r="K67" s="572"/>
      <c r="L67" s="572"/>
      <c r="M67" s="572"/>
      <c r="N67" s="574"/>
    </row>
    <row r="68" spans="1:14" s="370" customFormat="1">
      <c r="A68" s="879" t="s">
        <v>1020</v>
      </c>
      <c r="B68" s="880"/>
      <c r="C68" s="880"/>
      <c r="D68" s="880"/>
      <c r="E68" s="880"/>
      <c r="F68" s="880"/>
      <c r="G68" s="551"/>
      <c r="H68" s="31"/>
      <c r="I68" s="31"/>
      <c r="J68" s="572"/>
      <c r="K68" s="572"/>
      <c r="L68" s="572"/>
      <c r="M68" s="572"/>
      <c r="N68" s="574"/>
    </row>
    <row r="69" spans="1:14" s="370" customFormat="1">
      <c r="A69" s="898" t="s">
        <v>1021</v>
      </c>
      <c r="B69" s="899"/>
      <c r="C69" s="899"/>
      <c r="D69" s="899"/>
      <c r="E69" s="899"/>
      <c r="F69" s="899"/>
      <c r="G69" s="551"/>
      <c r="H69" s="31"/>
      <c r="I69" s="31"/>
      <c r="J69" s="572"/>
      <c r="K69" s="572"/>
      <c r="L69" s="572"/>
      <c r="M69" s="572"/>
      <c r="N69" s="574"/>
    </row>
    <row r="70" spans="1:14" s="370" customFormat="1" ht="44.5" customHeight="1">
      <c r="A70" s="881" t="s">
        <v>1145</v>
      </c>
      <c r="B70" s="882"/>
      <c r="C70" s="882"/>
      <c r="D70" s="882"/>
      <c r="E70" s="882"/>
      <c r="F70" s="883"/>
      <c r="G70" s="551"/>
      <c r="H70" s="31"/>
      <c r="I70" s="31"/>
      <c r="J70" s="572"/>
      <c r="K70" s="572"/>
      <c r="L70" s="572"/>
      <c r="M70" s="572"/>
      <c r="N70" s="574"/>
    </row>
    <row r="71" spans="1:14" s="370" customFormat="1" ht="26.25" customHeight="1">
      <c r="A71" s="565"/>
      <c r="B71" s="556"/>
      <c r="C71" s="716"/>
      <c r="D71" s="556"/>
      <c r="E71" s="556"/>
      <c r="F71" s="556"/>
      <c r="G71" s="551"/>
      <c r="H71" s="31"/>
      <c r="I71" s="31"/>
      <c r="J71" s="572"/>
      <c r="K71" s="572"/>
      <c r="L71" s="572"/>
      <c r="M71" s="572"/>
      <c r="N71" s="574"/>
    </row>
    <row r="72" spans="1:14" s="370" customFormat="1">
      <c r="A72" s="879" t="s">
        <v>264</v>
      </c>
      <c r="B72" s="880"/>
      <c r="C72" s="880"/>
      <c r="D72" s="880"/>
      <c r="E72" s="880"/>
      <c r="F72" s="556"/>
      <c r="G72" s="551"/>
      <c r="H72" s="31"/>
      <c r="I72" s="31"/>
      <c r="J72" s="572"/>
      <c r="K72" s="572"/>
      <c r="L72" s="572"/>
      <c r="M72" s="572"/>
      <c r="N72" s="574"/>
    </row>
    <row r="73" spans="1:14" s="370" customFormat="1" ht="32" customHeight="1">
      <c r="A73" s="900" t="s">
        <v>757</v>
      </c>
      <c r="B73" s="901"/>
      <c r="C73" s="901"/>
      <c r="D73" s="901"/>
      <c r="E73" s="901"/>
      <c r="F73" s="902"/>
      <c r="G73" s="551"/>
      <c r="H73" s="31"/>
      <c r="I73" s="31"/>
      <c r="J73" s="572"/>
      <c r="K73" s="572"/>
      <c r="L73" s="572"/>
      <c r="M73" s="572"/>
      <c r="N73" s="574"/>
    </row>
    <row r="74" spans="1:14" s="370" customFormat="1">
      <c r="A74" s="562"/>
      <c r="B74" s="556"/>
      <c r="C74" s="716"/>
      <c r="D74" s="556"/>
      <c r="E74" s="556"/>
      <c r="F74" s="556"/>
      <c r="G74" s="551"/>
      <c r="H74" s="31"/>
      <c r="I74" s="31"/>
      <c r="J74" s="781"/>
      <c r="K74" s="781"/>
      <c r="L74" s="781"/>
      <c r="M74" s="781"/>
      <c r="N74" s="782"/>
    </row>
    <row r="75" spans="1:14" s="370" customFormat="1">
      <c r="A75" s="565" t="s">
        <v>265</v>
      </c>
      <c r="B75" s="556"/>
      <c r="C75" s="716"/>
      <c r="D75" s="556"/>
      <c r="E75" s="556"/>
      <c r="F75" s="556"/>
      <c r="G75" s="551"/>
      <c r="H75" s="31"/>
      <c r="I75" s="31"/>
      <c r="J75" s="572"/>
      <c r="K75" s="572"/>
      <c r="L75" s="572"/>
      <c r="M75" s="572"/>
      <c r="N75" s="574"/>
    </row>
    <row r="76" spans="1:14" s="370" customFormat="1">
      <c r="A76" s="566" t="s">
        <v>266</v>
      </c>
      <c r="B76" s="556"/>
      <c r="C76" s="716"/>
      <c r="D76" s="556"/>
      <c r="E76" s="556"/>
      <c r="F76" s="556"/>
      <c r="G76" s="551"/>
      <c r="H76" s="31"/>
      <c r="I76" s="31"/>
      <c r="J76" s="572"/>
      <c r="K76" s="572"/>
      <c r="L76" s="572"/>
      <c r="M76" s="572"/>
      <c r="N76" s="574"/>
    </row>
    <row r="77" spans="1:14" s="370" customFormat="1" ht="34.5" customHeight="1">
      <c r="A77" s="892" t="s">
        <v>1030</v>
      </c>
      <c r="B77" s="893"/>
      <c r="C77" s="893"/>
      <c r="D77" s="893"/>
      <c r="E77" s="893"/>
      <c r="F77" s="893"/>
      <c r="G77" s="551"/>
      <c r="H77" s="31"/>
      <c r="I77" s="31"/>
      <c r="J77" s="31"/>
      <c r="K77" s="31"/>
      <c r="L77" s="31"/>
      <c r="M77" s="31"/>
      <c r="N77" s="536"/>
    </row>
    <row r="78" spans="1:14" s="370" customFormat="1" ht="28.5" customHeight="1">
      <c r="A78" s="930" t="s">
        <v>1146</v>
      </c>
      <c r="B78" s="931"/>
      <c r="C78" s="931"/>
      <c r="D78" s="931"/>
      <c r="E78" s="931"/>
      <c r="F78" s="932"/>
      <c r="G78" s="551"/>
      <c r="H78" s="31"/>
      <c r="I78" s="31"/>
      <c r="J78" s="31"/>
      <c r="K78" s="31"/>
      <c r="L78" s="31"/>
      <c r="M78" s="31"/>
      <c r="N78" s="536"/>
    </row>
    <row r="79" spans="1:14" s="370" customFormat="1">
      <c r="A79" s="894"/>
      <c r="B79" s="895"/>
      <c r="C79" s="895"/>
      <c r="D79" s="895"/>
      <c r="E79" s="895"/>
      <c r="F79" s="895"/>
      <c r="G79" s="551"/>
      <c r="H79" s="31"/>
      <c r="I79" s="31"/>
      <c r="J79" s="31"/>
      <c r="K79" s="31"/>
      <c r="L79" s="31"/>
      <c r="M79" s="31"/>
      <c r="N79" s="536"/>
    </row>
    <row r="80" spans="1:14" s="370" customFormat="1">
      <c r="A80" s="566" t="s">
        <v>268</v>
      </c>
      <c r="B80" s="556"/>
      <c r="C80" s="716"/>
      <c r="D80" s="556"/>
      <c r="E80" s="556"/>
      <c r="F80" s="556"/>
      <c r="G80" s="551"/>
      <c r="H80" s="31"/>
      <c r="I80" s="31"/>
      <c r="J80" s="31"/>
      <c r="K80" s="31"/>
      <c r="L80" s="31"/>
      <c r="M80" s="31"/>
      <c r="N80" s="536"/>
    </row>
    <row r="81" spans="1:14" s="370" customFormat="1" ht="29.75" customHeight="1">
      <c r="A81" s="933" t="s">
        <v>269</v>
      </c>
      <c r="B81" s="934"/>
      <c r="C81" s="934"/>
      <c r="D81" s="934"/>
      <c r="E81" s="934"/>
      <c r="F81" s="934"/>
      <c r="G81" s="551"/>
      <c r="H81" s="31"/>
      <c r="I81" s="31"/>
      <c r="J81" s="31"/>
      <c r="K81" s="31"/>
      <c r="L81" s="31"/>
      <c r="M81" s="31"/>
      <c r="N81" s="536"/>
    </row>
    <row r="82" spans="1:14" s="370" customFormat="1">
      <c r="A82" s="889" t="s">
        <v>452</v>
      </c>
      <c r="B82" s="890"/>
      <c r="C82" s="890"/>
      <c r="D82" s="890"/>
      <c r="E82" s="890"/>
      <c r="F82" s="891"/>
      <c r="G82" s="551"/>
      <c r="H82" s="31"/>
      <c r="I82" s="31"/>
      <c r="J82" s="31"/>
      <c r="K82" s="31"/>
      <c r="L82" s="31"/>
      <c r="M82" s="31"/>
      <c r="N82" s="536"/>
    </row>
    <row r="83" spans="1:14" s="370" customFormat="1" ht="15" thickBot="1">
      <c r="A83" s="567"/>
      <c r="B83" s="568"/>
      <c r="C83" s="569"/>
      <c r="D83" s="568"/>
      <c r="E83" s="568"/>
      <c r="F83" s="568"/>
      <c r="G83" s="570"/>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C85" s="717"/>
    </row>
    <row r="86" spans="1:14" s="370" customFormat="1">
      <c r="C86" s="717"/>
    </row>
    <row r="87" spans="1:14" s="370" customFormat="1">
      <c r="C87" s="717"/>
    </row>
    <row r="88" spans="1:14" s="370" customFormat="1">
      <c r="C88" s="717"/>
    </row>
    <row r="89" spans="1:14" s="370" customFormat="1">
      <c r="C89" s="717"/>
    </row>
    <row r="90" spans="1:14" s="370" customFormat="1">
      <c r="C90" s="717"/>
    </row>
    <row r="91" spans="1:14" s="370" customFormat="1">
      <c r="C91" s="717"/>
    </row>
    <row r="92" spans="1:14" s="370" customFormat="1">
      <c r="C92" s="717"/>
    </row>
    <row r="93" spans="1:14" s="370" customFormat="1">
      <c r="C93" s="717"/>
    </row>
    <row r="94" spans="1:14" s="370" customFormat="1">
      <c r="C94" s="717"/>
    </row>
    <row r="95" spans="1:14" s="370" customFormat="1">
      <c r="C95" s="717"/>
    </row>
    <row r="96" spans="1:14" s="370" customFormat="1">
      <c r="C96" s="717"/>
    </row>
    <row r="97" spans="3:3" s="370" customFormat="1">
      <c r="C97" s="717"/>
    </row>
    <row r="98" spans="3:3" s="370" customFormat="1">
      <c r="C98" s="717"/>
    </row>
    <row r="99" spans="3:3" s="370" customFormat="1">
      <c r="C99" s="717"/>
    </row>
    <row r="100" spans="3:3" s="370" customFormat="1">
      <c r="C100" s="717"/>
    </row>
    <row r="101" spans="3:3" s="370" customFormat="1">
      <c r="C101" s="717"/>
    </row>
    <row r="102" spans="3:3" s="370" customFormat="1">
      <c r="C102" s="717"/>
    </row>
    <row r="103" spans="3:3" s="370" customFormat="1">
      <c r="C103" s="717"/>
    </row>
    <row r="104" spans="3:3" s="370" customFormat="1">
      <c r="C104" s="717"/>
    </row>
    <row r="105" spans="3:3" s="370" customFormat="1">
      <c r="C105" s="717"/>
    </row>
    <row r="106" spans="3:3" s="370" customFormat="1">
      <c r="C106" s="717"/>
    </row>
    <row r="107" spans="3:3" s="370" customFormat="1">
      <c r="C107" s="717"/>
    </row>
    <row r="108" spans="3:3" s="370" customFormat="1">
      <c r="C108" s="717"/>
    </row>
    <row r="109" spans="3:3" s="370" customFormat="1">
      <c r="C109" s="717"/>
    </row>
    <row r="110" spans="3:3" s="370" customFormat="1">
      <c r="C110" s="717"/>
    </row>
    <row r="111" spans="3:3" s="370" customFormat="1">
      <c r="C111" s="717"/>
    </row>
    <row r="112" spans="3:3" s="370" customFormat="1">
      <c r="C112" s="717"/>
    </row>
    <row r="113" spans="3:3" s="370" customFormat="1">
      <c r="C113" s="717"/>
    </row>
    <row r="114" spans="3:3" s="370" customFormat="1">
      <c r="C114" s="717"/>
    </row>
    <row r="115" spans="3:3" s="370" customFormat="1">
      <c r="C115" s="717"/>
    </row>
    <row r="116" spans="3:3" s="370" customFormat="1">
      <c r="C116" s="717"/>
    </row>
    <row r="117" spans="3:3" s="370" customFormat="1">
      <c r="C117" s="717"/>
    </row>
    <row r="118" spans="3:3" s="370" customFormat="1">
      <c r="C118" s="717"/>
    </row>
    <row r="119" spans="3:3" s="370" customFormat="1">
      <c r="C119" s="717"/>
    </row>
    <row r="120" spans="3:3" s="370" customFormat="1">
      <c r="C120" s="717"/>
    </row>
    <row r="121" spans="3:3" s="370" customFormat="1">
      <c r="C121" s="717"/>
    </row>
    <row r="122" spans="3:3" s="370" customFormat="1">
      <c r="C122" s="717"/>
    </row>
    <row r="123" spans="3:3" s="370" customFormat="1">
      <c r="C123" s="717"/>
    </row>
    <row r="124" spans="3:3" s="370" customFormat="1">
      <c r="C124" s="717"/>
    </row>
    <row r="125" spans="3:3" s="370" customFormat="1">
      <c r="C125" s="717"/>
    </row>
    <row r="126" spans="3:3" s="370" customFormat="1">
      <c r="C126" s="717"/>
    </row>
    <row r="127" spans="3:3" s="370" customFormat="1">
      <c r="C127" s="717"/>
    </row>
    <row r="128" spans="3:3" s="370" customFormat="1">
      <c r="C128" s="717"/>
    </row>
    <row r="129" spans="3:3" s="370" customFormat="1">
      <c r="C129" s="717"/>
    </row>
    <row r="130" spans="3:3" s="370" customFormat="1">
      <c r="C130" s="717"/>
    </row>
    <row r="131" spans="3:3" s="370" customFormat="1">
      <c r="C131" s="717"/>
    </row>
    <row r="132" spans="3:3" s="370" customFormat="1">
      <c r="C132" s="717"/>
    </row>
    <row r="133" spans="3:3" s="370" customFormat="1">
      <c r="C133" s="717"/>
    </row>
    <row r="134" spans="3:3" s="370" customFormat="1">
      <c r="C134" s="717"/>
    </row>
  </sheetData>
  <mergeCells count="25">
    <mergeCell ref="A69:F69"/>
    <mergeCell ref="A70:F70"/>
    <mergeCell ref="A72:E72"/>
    <mergeCell ref="A82:F82"/>
    <mergeCell ref="A73:F73"/>
    <mergeCell ref="A77:F77"/>
    <mergeCell ref="A78:F78"/>
    <mergeCell ref="A79:F79"/>
    <mergeCell ref="A81:F81"/>
    <mergeCell ref="A56:B56"/>
    <mergeCell ref="A62:F62"/>
    <mergeCell ref="A63:F63"/>
    <mergeCell ref="A66:F66"/>
    <mergeCell ref="A68:F68"/>
    <mergeCell ref="A1:N1"/>
    <mergeCell ref="A42:E42"/>
    <mergeCell ref="A43:D43"/>
    <mergeCell ref="A54:F54"/>
    <mergeCell ref="A55:F55"/>
    <mergeCell ref="J53:M53"/>
    <mergeCell ref="O53:Q53"/>
    <mergeCell ref="O54:P54"/>
    <mergeCell ref="O55:P55"/>
    <mergeCell ref="A44:D44"/>
    <mergeCell ref="A45:D45"/>
  </mergeCells>
  <printOptions horizontalCentered="1"/>
  <pageMargins left="0.2" right="0.2" top="0.75" bottom="0.75" header="0.3" footer="0.3"/>
  <pageSetup scale="67" fitToHeight="0" orientation="landscape" r:id="rId1"/>
  <headerFooter>
    <oddHeader xml:space="preserve">&amp;CDRAFT NOT FOR DISTRIBUTION, INTERNAL USE ONLY
</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pageSetUpPr fitToPage="1"/>
  </sheetPr>
  <dimension ref="A1:N245"/>
  <sheetViews>
    <sheetView zoomScaleNormal="100" workbookViewId="0">
      <selection sqref="A1:N1"/>
    </sheetView>
  </sheetViews>
  <sheetFormatPr defaultRowHeight="14.5"/>
  <cols>
    <col min="1" max="1" width="48.26953125" customWidth="1"/>
    <col min="2" max="2" width="16" customWidth="1"/>
    <col min="3" max="3" width="7.7265625" style="30" customWidth="1"/>
    <col min="4" max="4" width="15.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25.1796875" customWidth="1"/>
  </cols>
  <sheetData>
    <row r="1" spans="1:14" ht="15.5">
      <c r="A1" s="854" t="s">
        <v>377</v>
      </c>
      <c r="B1" s="854"/>
      <c r="C1" s="854"/>
      <c r="D1" s="854"/>
      <c r="E1" s="854"/>
      <c r="F1" s="854"/>
      <c r="G1" s="854"/>
      <c r="H1" s="854"/>
      <c r="I1" s="854"/>
      <c r="J1" s="854"/>
      <c r="K1" s="854"/>
      <c r="L1" s="854"/>
      <c r="M1" s="854"/>
      <c r="N1" s="854"/>
    </row>
    <row r="2" spans="1:14">
      <c r="A2" s="702" t="s">
        <v>395</v>
      </c>
      <c r="B2" s="370"/>
      <c r="C2" s="639"/>
      <c r="D2" s="370"/>
      <c r="E2" s="370"/>
      <c r="F2" s="370"/>
      <c r="G2" s="370"/>
      <c r="H2" s="370"/>
      <c r="I2" s="370"/>
      <c r="J2" s="370"/>
      <c r="K2" s="370"/>
      <c r="L2" s="370"/>
      <c r="M2" s="370"/>
      <c r="N2" s="370"/>
    </row>
    <row r="3" spans="1:14">
      <c r="A3" s="506" t="s">
        <v>809</v>
      </c>
      <c r="B3" s="370"/>
      <c r="C3" s="639"/>
      <c r="D3" s="370"/>
      <c r="E3" s="451" t="s">
        <v>210</v>
      </c>
      <c r="F3" s="370"/>
      <c r="G3" s="370"/>
      <c r="H3" s="370"/>
      <c r="I3" s="370"/>
      <c r="J3" s="370"/>
      <c r="K3" s="370"/>
      <c r="L3" s="370"/>
      <c r="M3" s="370"/>
      <c r="N3" s="370"/>
    </row>
    <row r="4" spans="1:14">
      <c r="A4" s="506" t="s">
        <v>886</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s="370" customFormat="1" ht="26">
      <c r="A7" s="371" t="s">
        <v>829</v>
      </c>
      <c r="B7" s="371" t="s">
        <v>396</v>
      </c>
      <c r="C7" s="37" t="s">
        <v>218</v>
      </c>
      <c r="D7" s="38">
        <v>1</v>
      </c>
      <c r="E7" s="258">
        <v>158</v>
      </c>
      <c r="F7" s="303">
        <f>SUM(G7:M7)</f>
        <v>160</v>
      </c>
      <c r="G7" s="304">
        <v>0</v>
      </c>
      <c r="H7" s="304">
        <v>160</v>
      </c>
      <c r="I7" s="304">
        <v>0</v>
      </c>
      <c r="J7" s="304">
        <v>0</v>
      </c>
      <c r="K7" s="304">
        <v>0</v>
      </c>
      <c r="L7" s="304">
        <v>0</v>
      </c>
      <c r="M7" s="305">
        <v>0</v>
      </c>
      <c r="N7" s="544"/>
    </row>
    <row r="8" spans="1:14" s="370" customFormat="1" ht="26">
      <c r="A8" s="371" t="s">
        <v>1368</v>
      </c>
      <c r="B8" s="371" t="s">
        <v>397</v>
      </c>
      <c r="C8" s="37" t="s">
        <v>218</v>
      </c>
      <c r="D8" s="39">
        <v>1</v>
      </c>
      <c r="E8" s="258">
        <v>113</v>
      </c>
      <c r="F8" s="303">
        <f t="shared" ref="F8:F21" si="0">SUM(G8:M8)</f>
        <v>120</v>
      </c>
      <c r="G8" s="304">
        <v>0</v>
      </c>
      <c r="H8" s="304">
        <v>120</v>
      </c>
      <c r="I8" s="304">
        <v>0</v>
      </c>
      <c r="J8" s="304">
        <v>0</v>
      </c>
      <c r="K8" s="304">
        <v>0</v>
      </c>
      <c r="L8" s="304">
        <v>0</v>
      </c>
      <c r="M8" s="305">
        <v>0</v>
      </c>
      <c r="N8" s="609"/>
    </row>
    <row r="9" spans="1:14" s="370" customFormat="1">
      <c r="A9" s="371" t="s">
        <v>758</v>
      </c>
      <c r="B9" s="71" t="s">
        <v>398</v>
      </c>
      <c r="C9" s="37" t="s">
        <v>218</v>
      </c>
      <c r="D9" s="39">
        <v>1</v>
      </c>
      <c r="E9" s="258">
        <v>156</v>
      </c>
      <c r="F9" s="303">
        <f t="shared" si="0"/>
        <v>156</v>
      </c>
      <c r="G9" s="304">
        <v>0</v>
      </c>
      <c r="H9" s="304">
        <v>156</v>
      </c>
      <c r="I9" s="304">
        <v>0</v>
      </c>
      <c r="J9" s="304">
        <v>0</v>
      </c>
      <c r="K9" s="304">
        <v>0</v>
      </c>
      <c r="L9" s="304">
        <v>0</v>
      </c>
      <c r="M9" s="305">
        <v>0</v>
      </c>
      <c r="N9" s="544"/>
    </row>
    <row r="10" spans="1:14" s="370" customFormat="1">
      <c r="A10" s="371" t="s">
        <v>1369</v>
      </c>
      <c r="B10" s="530" t="s">
        <v>401</v>
      </c>
      <c r="C10" s="37" t="s">
        <v>218</v>
      </c>
      <c r="D10" s="39">
        <v>1</v>
      </c>
      <c r="E10" s="258">
        <v>90</v>
      </c>
      <c r="F10" s="303">
        <f t="shared" ref="F10" si="1">SUM(G10:M10)</f>
        <v>85</v>
      </c>
      <c r="G10" s="304">
        <v>0</v>
      </c>
      <c r="H10" s="304">
        <v>85</v>
      </c>
      <c r="I10" s="304">
        <v>0</v>
      </c>
      <c r="J10" s="304">
        <v>0</v>
      </c>
      <c r="K10" s="304">
        <v>0</v>
      </c>
      <c r="L10" s="304">
        <v>0</v>
      </c>
      <c r="M10" s="305">
        <v>0</v>
      </c>
      <c r="N10" s="367"/>
    </row>
    <row r="11" spans="1:14" s="370" customFormat="1">
      <c r="A11" s="371" t="s">
        <v>399</v>
      </c>
      <c r="B11" s="259" t="s">
        <v>398</v>
      </c>
      <c r="C11" s="37" t="s">
        <v>218</v>
      </c>
      <c r="D11" s="39">
        <v>1</v>
      </c>
      <c r="E11" s="258">
        <v>90</v>
      </c>
      <c r="F11" s="303">
        <f t="shared" si="0"/>
        <v>90</v>
      </c>
      <c r="G11" s="304">
        <v>0</v>
      </c>
      <c r="H11" s="304">
        <v>90</v>
      </c>
      <c r="I11" s="304">
        <v>0</v>
      </c>
      <c r="J11" s="304">
        <v>0</v>
      </c>
      <c r="K11" s="304">
        <v>0</v>
      </c>
      <c r="L11" s="304">
        <v>0</v>
      </c>
      <c r="M11" s="305">
        <v>0</v>
      </c>
      <c r="N11" s="367"/>
    </row>
    <row r="12" spans="1:14" s="370" customFormat="1">
      <c r="A12" s="544" t="s">
        <v>1370</v>
      </c>
      <c r="B12" s="530" t="s">
        <v>827</v>
      </c>
      <c r="C12" s="37" t="s">
        <v>218</v>
      </c>
      <c r="D12" s="39">
        <v>0.75</v>
      </c>
      <c r="E12" s="258">
        <v>70</v>
      </c>
      <c r="F12" s="303">
        <f t="shared" si="0"/>
        <v>75</v>
      </c>
      <c r="G12" s="304">
        <v>0</v>
      </c>
      <c r="H12" s="304">
        <v>75</v>
      </c>
      <c r="I12" s="304">
        <v>0</v>
      </c>
      <c r="J12" s="304">
        <v>0</v>
      </c>
      <c r="K12" s="304">
        <v>0</v>
      </c>
      <c r="L12" s="304">
        <v>0</v>
      </c>
      <c r="M12" s="305">
        <v>0</v>
      </c>
      <c r="N12" s="544"/>
    </row>
    <row r="13" spans="1:14" s="370" customFormat="1">
      <c r="A13" s="544" t="s">
        <v>1371</v>
      </c>
      <c r="B13" s="530" t="s">
        <v>828</v>
      </c>
      <c r="C13" s="37" t="s">
        <v>218</v>
      </c>
      <c r="D13" s="39">
        <v>0.75</v>
      </c>
      <c r="E13" s="258">
        <v>68</v>
      </c>
      <c r="F13" s="303">
        <f t="shared" si="0"/>
        <v>68</v>
      </c>
      <c r="G13" s="304">
        <v>0</v>
      </c>
      <c r="H13" s="304">
        <v>68</v>
      </c>
      <c r="I13" s="304">
        <v>0</v>
      </c>
      <c r="J13" s="304">
        <v>0</v>
      </c>
      <c r="K13" s="304">
        <v>0</v>
      </c>
      <c r="L13" s="304">
        <v>0</v>
      </c>
      <c r="M13" s="305">
        <v>0</v>
      </c>
      <c r="N13" s="544"/>
    </row>
    <row r="14" spans="1:14" s="370" customFormat="1" ht="28.75" customHeight="1">
      <c r="A14" s="371" t="s">
        <v>1190</v>
      </c>
      <c r="B14" s="544" t="s">
        <v>400</v>
      </c>
      <c r="C14" s="37" t="s">
        <v>218</v>
      </c>
      <c r="D14" s="39">
        <v>0.5</v>
      </c>
      <c r="E14" s="258">
        <v>52</v>
      </c>
      <c r="F14" s="303">
        <f t="shared" si="0"/>
        <v>52</v>
      </c>
      <c r="G14" s="304">
        <v>0</v>
      </c>
      <c r="H14" s="304">
        <v>52</v>
      </c>
      <c r="I14" s="304">
        <v>0</v>
      </c>
      <c r="J14" s="304">
        <v>0</v>
      </c>
      <c r="K14" s="304">
        <v>0</v>
      </c>
      <c r="L14" s="304">
        <v>0</v>
      </c>
      <c r="M14" s="305">
        <v>0</v>
      </c>
      <c r="N14" s="318" t="s">
        <v>1151</v>
      </c>
    </row>
    <row r="15" spans="1:14" s="370" customFormat="1" ht="29">
      <c r="A15" s="544" t="s">
        <v>759</v>
      </c>
      <c r="B15" s="71" t="s">
        <v>398</v>
      </c>
      <c r="C15" s="37" t="s">
        <v>218</v>
      </c>
      <c r="D15" s="39">
        <v>0.5</v>
      </c>
      <c r="E15" s="258">
        <v>38</v>
      </c>
      <c r="F15" s="303">
        <f t="shared" si="0"/>
        <v>38</v>
      </c>
      <c r="G15" s="304"/>
      <c r="H15" s="304">
        <v>38</v>
      </c>
      <c r="I15" s="304"/>
      <c r="J15" s="304"/>
      <c r="K15" s="304"/>
      <c r="L15" s="304"/>
      <c r="M15" s="305"/>
      <c r="N15" s="318" t="s">
        <v>1151</v>
      </c>
    </row>
    <row r="16" spans="1:14" s="370" customFormat="1">
      <c r="A16" s="167" t="s">
        <v>1372</v>
      </c>
      <c r="B16" s="167" t="s">
        <v>1148</v>
      </c>
      <c r="C16" s="37" t="s">
        <v>218</v>
      </c>
      <c r="D16" s="39">
        <v>1</v>
      </c>
      <c r="E16" s="258">
        <v>72</v>
      </c>
      <c r="F16" s="303">
        <f t="shared" si="0"/>
        <v>65</v>
      </c>
      <c r="G16" s="304">
        <v>0</v>
      </c>
      <c r="H16" s="304">
        <v>65</v>
      </c>
      <c r="I16" s="304">
        <v>0</v>
      </c>
      <c r="J16" s="304">
        <v>0</v>
      </c>
      <c r="K16" s="304">
        <v>0</v>
      </c>
      <c r="L16" s="304">
        <v>0</v>
      </c>
      <c r="M16" s="305">
        <v>0</v>
      </c>
      <c r="N16" s="348"/>
    </row>
    <row r="17" spans="1:14" s="370" customFormat="1">
      <c r="A17" s="167" t="s">
        <v>1373</v>
      </c>
      <c r="B17" s="57" t="s">
        <v>1149</v>
      </c>
      <c r="C17" s="37" t="s">
        <v>218</v>
      </c>
      <c r="D17" s="39">
        <v>1</v>
      </c>
      <c r="E17" s="258">
        <v>72</v>
      </c>
      <c r="F17" s="303">
        <f t="shared" si="0"/>
        <v>65</v>
      </c>
      <c r="G17" s="304"/>
      <c r="H17" s="304">
        <v>65</v>
      </c>
      <c r="I17" s="304"/>
      <c r="J17" s="304"/>
      <c r="K17" s="304"/>
      <c r="L17" s="304"/>
      <c r="M17" s="305"/>
      <c r="N17" s="318"/>
    </row>
    <row r="18" spans="1:14" s="370" customFormat="1">
      <c r="A18" s="544" t="s">
        <v>1374</v>
      </c>
      <c r="B18" s="628" t="s">
        <v>1150</v>
      </c>
      <c r="C18" s="37" t="s">
        <v>218</v>
      </c>
      <c r="D18" s="39">
        <v>1</v>
      </c>
      <c r="E18" s="258">
        <v>76</v>
      </c>
      <c r="F18" s="303">
        <f t="shared" si="0"/>
        <v>65</v>
      </c>
      <c r="G18" s="304"/>
      <c r="H18" s="304">
        <v>65</v>
      </c>
      <c r="I18" s="304"/>
      <c r="J18" s="304"/>
      <c r="K18" s="304"/>
      <c r="L18" s="304"/>
      <c r="M18" s="305"/>
      <c r="N18" s="318"/>
    </row>
    <row r="19" spans="1:14" s="370" customFormat="1">
      <c r="A19" s="544" t="s">
        <v>830</v>
      </c>
      <c r="B19" s="786" t="s">
        <v>398</v>
      </c>
      <c r="C19" s="37" t="s">
        <v>218</v>
      </c>
      <c r="D19" s="39">
        <v>1</v>
      </c>
      <c r="E19" s="258">
        <v>76</v>
      </c>
      <c r="F19" s="303">
        <f t="shared" si="0"/>
        <v>75</v>
      </c>
      <c r="G19" s="304"/>
      <c r="H19" s="304">
        <v>75</v>
      </c>
      <c r="I19" s="304"/>
      <c r="J19" s="304"/>
      <c r="K19" s="304"/>
      <c r="L19" s="304"/>
      <c r="M19" s="305"/>
      <c r="N19" s="318"/>
    </row>
    <row r="20" spans="1:14" s="370" customFormat="1">
      <c r="A20" s="371" t="s">
        <v>402</v>
      </c>
      <c r="B20" s="36" t="s">
        <v>403</v>
      </c>
      <c r="C20" s="37" t="s">
        <v>218</v>
      </c>
      <c r="D20" s="39"/>
      <c r="E20" s="258">
        <v>0</v>
      </c>
      <c r="F20" s="303">
        <f t="shared" si="0"/>
        <v>0</v>
      </c>
      <c r="G20" s="304"/>
      <c r="H20" s="304">
        <v>0</v>
      </c>
      <c r="I20" s="304"/>
      <c r="J20" s="304"/>
      <c r="K20" s="304"/>
      <c r="L20" s="304"/>
      <c r="M20" s="305"/>
      <c r="N20" s="318" t="s">
        <v>404</v>
      </c>
    </row>
    <row r="21" spans="1:14" s="370" customFormat="1" ht="15" customHeight="1">
      <c r="A21" s="371" t="s">
        <v>405</v>
      </c>
      <c r="B21" s="71"/>
      <c r="C21" s="37" t="s">
        <v>218</v>
      </c>
      <c r="D21" s="39">
        <v>0</v>
      </c>
      <c r="E21" s="258">
        <v>4</v>
      </c>
      <c r="F21" s="303">
        <f t="shared" si="0"/>
        <v>4</v>
      </c>
      <c r="G21" s="304">
        <v>0</v>
      </c>
      <c r="H21" s="304">
        <v>4</v>
      </c>
      <c r="I21" s="304">
        <v>0</v>
      </c>
      <c r="J21" s="304">
        <v>0</v>
      </c>
      <c r="K21" s="304">
        <v>0</v>
      </c>
      <c r="L21" s="304">
        <v>0</v>
      </c>
      <c r="M21" s="305">
        <v>0</v>
      </c>
      <c r="N21" s="348"/>
    </row>
    <row r="22" spans="1:14">
      <c r="A22" s="36" t="s">
        <v>217</v>
      </c>
      <c r="B22" s="260"/>
      <c r="C22" s="37" t="s">
        <v>218</v>
      </c>
      <c r="D22" s="39"/>
      <c r="E22" s="258">
        <v>0</v>
      </c>
      <c r="F22" s="303">
        <f>SUM(G22:M22)</f>
        <v>0</v>
      </c>
      <c r="G22" s="304">
        <v>0</v>
      </c>
      <c r="H22" s="304">
        <v>0</v>
      </c>
      <c r="I22" s="304">
        <v>0</v>
      </c>
      <c r="J22" s="304">
        <v>0</v>
      </c>
      <c r="K22" s="304">
        <v>0</v>
      </c>
      <c r="L22" s="304">
        <v>0</v>
      </c>
      <c r="M22" s="305">
        <v>0</v>
      </c>
      <c r="N22" s="348"/>
    </row>
    <row r="23" spans="1:14">
      <c r="A23" s="40" t="s">
        <v>219</v>
      </c>
      <c r="B23" s="260"/>
      <c r="C23" s="261"/>
      <c r="D23" s="41">
        <f t="shared" ref="D23:M23" si="2">SUM(D7:D22)</f>
        <v>11.5</v>
      </c>
      <c r="E23" s="42">
        <f t="shared" si="2"/>
        <v>1135</v>
      </c>
      <c r="F23" s="43">
        <f t="shared" si="2"/>
        <v>1118</v>
      </c>
      <c r="G23" s="43">
        <f t="shared" si="2"/>
        <v>0</v>
      </c>
      <c r="H23" s="43">
        <f t="shared" si="2"/>
        <v>1118</v>
      </c>
      <c r="I23" s="43">
        <f t="shared" si="2"/>
        <v>0</v>
      </c>
      <c r="J23" s="43">
        <f t="shared" si="2"/>
        <v>0</v>
      </c>
      <c r="K23" s="43">
        <f t="shared" si="2"/>
        <v>0</v>
      </c>
      <c r="L23" s="43">
        <f t="shared" si="2"/>
        <v>0</v>
      </c>
      <c r="M23" s="43">
        <f t="shared" si="2"/>
        <v>0</v>
      </c>
      <c r="N23" s="249"/>
    </row>
    <row r="24" spans="1:14">
      <c r="A24" s="67" t="s">
        <v>220</v>
      </c>
      <c r="B24" s="68"/>
      <c r="C24" s="69"/>
      <c r="D24" s="68"/>
      <c r="E24" s="68"/>
      <c r="F24" s="70"/>
      <c r="G24" s="70"/>
      <c r="H24" s="70"/>
      <c r="I24" s="70"/>
      <c r="J24" s="70"/>
      <c r="K24" s="70"/>
      <c r="L24" s="70"/>
      <c r="M24" s="70"/>
      <c r="N24" s="70"/>
    </row>
    <row r="25" spans="1:14">
      <c r="A25" s="259" t="s">
        <v>278</v>
      </c>
      <c r="B25" s="259"/>
      <c r="C25" s="44">
        <v>253</v>
      </c>
      <c r="D25" s="45"/>
      <c r="E25" s="258">
        <v>0</v>
      </c>
      <c r="F25" s="350">
        <f>SUM(G25:M25)</f>
        <v>0</v>
      </c>
      <c r="G25" s="304">
        <v>0</v>
      </c>
      <c r="H25" s="304">
        <v>0</v>
      </c>
      <c r="I25" s="304">
        <v>0</v>
      </c>
      <c r="J25" s="304">
        <v>0</v>
      </c>
      <c r="K25" s="304">
        <v>0</v>
      </c>
      <c r="L25" s="304">
        <v>0</v>
      </c>
      <c r="M25" s="305">
        <v>0</v>
      </c>
      <c r="N25" s="320"/>
    </row>
    <row r="26" spans="1:14">
      <c r="A26" s="259" t="s">
        <v>278</v>
      </c>
      <c r="B26" s="259"/>
      <c r="C26" s="44">
        <v>253</v>
      </c>
      <c r="D26" s="45"/>
      <c r="E26" s="258">
        <v>0</v>
      </c>
      <c r="F26" s="350">
        <f>SUM(G26:M26)</f>
        <v>0</v>
      </c>
      <c r="G26" s="304">
        <v>0</v>
      </c>
      <c r="H26" s="304">
        <v>0</v>
      </c>
      <c r="I26" s="304">
        <v>0</v>
      </c>
      <c r="J26" s="304">
        <v>0</v>
      </c>
      <c r="K26" s="304">
        <v>0</v>
      </c>
      <c r="L26" s="304">
        <v>0</v>
      </c>
      <c r="M26" s="305">
        <v>0</v>
      </c>
      <c r="N26" s="319"/>
    </row>
    <row r="27" spans="1:14">
      <c r="A27" s="259" t="s">
        <v>278</v>
      </c>
      <c r="B27" s="259"/>
      <c r="C27" s="44">
        <v>253</v>
      </c>
      <c r="D27" s="262"/>
      <c r="E27" s="258">
        <v>0</v>
      </c>
      <c r="F27" s="350">
        <f>SUM(G27:M27)</f>
        <v>0</v>
      </c>
      <c r="G27" s="304">
        <v>0</v>
      </c>
      <c r="H27" s="304">
        <v>0</v>
      </c>
      <c r="I27" s="304">
        <v>0</v>
      </c>
      <c r="J27" s="304">
        <v>0</v>
      </c>
      <c r="K27" s="304">
        <v>0</v>
      </c>
      <c r="L27" s="304">
        <v>0</v>
      </c>
      <c r="M27" s="305">
        <v>0</v>
      </c>
      <c r="N27" s="348"/>
    </row>
    <row r="28" spans="1:14" s="7" customFormat="1">
      <c r="A28" s="259" t="s">
        <v>278</v>
      </c>
      <c r="B28" s="259"/>
      <c r="C28" s="44">
        <v>253</v>
      </c>
      <c r="D28" s="262"/>
      <c r="E28" s="258">
        <v>0</v>
      </c>
      <c r="F28" s="350">
        <f>SUM(G28:M28)</f>
        <v>0</v>
      </c>
      <c r="G28" s="304">
        <v>0</v>
      </c>
      <c r="H28" s="304">
        <v>0</v>
      </c>
      <c r="I28" s="304">
        <v>0</v>
      </c>
      <c r="J28" s="304">
        <v>0</v>
      </c>
      <c r="K28" s="304">
        <v>0</v>
      </c>
      <c r="L28" s="304">
        <v>0</v>
      </c>
      <c r="M28" s="305">
        <v>0</v>
      </c>
      <c r="N28" s="319"/>
    </row>
    <row r="29" spans="1:14">
      <c r="A29" s="40" t="s">
        <v>225</v>
      </c>
      <c r="B29" s="260"/>
      <c r="C29" s="261"/>
      <c r="D29" s="262">
        <f>SUM(D25:D28)</f>
        <v>0</v>
      </c>
      <c r="E29" s="42">
        <f>SUM(E25:E28)</f>
        <v>0</v>
      </c>
      <c r="F29" s="43">
        <f>SUM(F25:F28)</f>
        <v>0</v>
      </c>
      <c r="G29" s="43">
        <f t="shared" ref="G29:M29" si="3">SUM(G25:G28)</f>
        <v>0</v>
      </c>
      <c r="H29" s="43">
        <f t="shared" si="3"/>
        <v>0</v>
      </c>
      <c r="I29" s="43">
        <f t="shared" si="3"/>
        <v>0</v>
      </c>
      <c r="J29" s="43">
        <f t="shared" si="3"/>
        <v>0</v>
      </c>
      <c r="K29" s="43">
        <f t="shared" si="3"/>
        <v>0</v>
      </c>
      <c r="L29" s="43">
        <f t="shared" si="3"/>
        <v>0</v>
      </c>
      <c r="M29" s="43">
        <f t="shared" si="3"/>
        <v>0</v>
      </c>
      <c r="N29" s="348"/>
    </row>
    <row r="30" spans="1:14" s="7" customFormat="1">
      <c r="A30" s="125" t="s">
        <v>226</v>
      </c>
      <c r="B30" s="126"/>
      <c r="C30" s="126"/>
      <c r="D30" s="126"/>
      <c r="E30" s="87"/>
      <c r="F30" s="87"/>
      <c r="G30" s="87"/>
      <c r="H30" s="87"/>
      <c r="I30" s="87"/>
      <c r="J30" s="87"/>
      <c r="K30" s="87"/>
      <c r="L30" s="87"/>
      <c r="M30" s="87"/>
      <c r="N30" s="128"/>
    </row>
    <row r="31" spans="1:14">
      <c r="A31" s="259" t="s">
        <v>227</v>
      </c>
      <c r="B31" s="36" t="s">
        <v>406</v>
      </c>
      <c r="C31" s="37" t="s">
        <v>228</v>
      </c>
      <c r="D31" s="38">
        <v>0</v>
      </c>
      <c r="E31" s="258">
        <v>12</v>
      </c>
      <c r="F31" s="303">
        <f t="shared" ref="F31:F43" si="4">SUM(G31:M31)</f>
        <v>12</v>
      </c>
      <c r="G31" s="304">
        <v>0</v>
      </c>
      <c r="H31" s="304">
        <v>12</v>
      </c>
      <c r="I31" s="304">
        <v>0</v>
      </c>
      <c r="J31" s="304">
        <v>0</v>
      </c>
      <c r="K31" s="304">
        <v>0</v>
      </c>
      <c r="L31" s="304">
        <v>0</v>
      </c>
      <c r="M31" s="305">
        <v>0</v>
      </c>
      <c r="N31" s="157" t="s">
        <v>407</v>
      </c>
    </row>
    <row r="32" spans="1:14">
      <c r="A32" s="259" t="s">
        <v>229</v>
      </c>
      <c r="B32" s="36"/>
      <c r="C32" s="44" t="s">
        <v>230</v>
      </c>
      <c r="D32" s="45"/>
      <c r="E32" s="258">
        <v>0</v>
      </c>
      <c r="F32" s="303">
        <f t="shared" si="4"/>
        <v>0</v>
      </c>
      <c r="G32" s="304">
        <v>0</v>
      </c>
      <c r="H32" s="304"/>
      <c r="I32" s="304">
        <v>0</v>
      </c>
      <c r="J32" s="304">
        <v>0</v>
      </c>
      <c r="K32" s="304">
        <v>0</v>
      </c>
      <c r="L32" s="304">
        <v>0</v>
      </c>
      <c r="M32" s="305">
        <v>0</v>
      </c>
      <c r="N32" s="348"/>
    </row>
    <row r="33" spans="1:14">
      <c r="A33" s="259" t="s">
        <v>231</v>
      </c>
      <c r="B33" s="36"/>
      <c r="C33" s="44" t="s">
        <v>232</v>
      </c>
      <c r="D33" s="45"/>
      <c r="E33" s="258">
        <v>0</v>
      </c>
      <c r="F33" s="303">
        <f t="shared" si="4"/>
        <v>0</v>
      </c>
      <c r="G33" s="304">
        <v>0</v>
      </c>
      <c r="H33" s="304">
        <v>0</v>
      </c>
      <c r="I33" s="304">
        <v>0</v>
      </c>
      <c r="J33" s="304">
        <v>0</v>
      </c>
      <c r="K33" s="304">
        <v>0</v>
      </c>
      <c r="L33" s="304">
        <v>0</v>
      </c>
      <c r="M33" s="305">
        <v>0</v>
      </c>
      <c r="N33" s="348"/>
    </row>
    <row r="34" spans="1:14">
      <c r="A34" s="259" t="s">
        <v>233</v>
      </c>
      <c r="B34" s="36"/>
      <c r="C34" s="44" t="s">
        <v>234</v>
      </c>
      <c r="D34" s="45"/>
      <c r="E34" s="258">
        <v>0</v>
      </c>
      <c r="F34" s="303">
        <f t="shared" si="4"/>
        <v>0</v>
      </c>
      <c r="G34" s="304">
        <v>0</v>
      </c>
      <c r="H34" s="304"/>
      <c r="I34" s="304">
        <v>0</v>
      </c>
      <c r="J34" s="304">
        <v>0</v>
      </c>
      <c r="K34" s="304">
        <v>0</v>
      </c>
      <c r="L34" s="304">
        <v>0</v>
      </c>
      <c r="M34" s="305">
        <v>0</v>
      </c>
      <c r="N34" s="348"/>
    </row>
    <row r="35" spans="1:14">
      <c r="A35" s="259" t="s">
        <v>235</v>
      </c>
      <c r="B35" s="36"/>
      <c r="C35" s="44">
        <v>251</v>
      </c>
      <c r="D35" s="45"/>
      <c r="E35" s="258">
        <v>0</v>
      </c>
      <c r="F35" s="303">
        <f t="shared" si="4"/>
        <v>0</v>
      </c>
      <c r="G35" s="304">
        <v>0</v>
      </c>
      <c r="H35" s="304">
        <v>0</v>
      </c>
      <c r="I35" s="304">
        <v>0</v>
      </c>
      <c r="J35" s="304">
        <v>0</v>
      </c>
      <c r="K35" s="304">
        <v>0</v>
      </c>
      <c r="L35" s="304">
        <v>0</v>
      </c>
      <c r="M35" s="305">
        <v>0</v>
      </c>
      <c r="N35" s="348"/>
    </row>
    <row r="36" spans="1:14">
      <c r="A36" s="259" t="s">
        <v>408</v>
      </c>
      <c r="B36" s="36"/>
      <c r="C36" s="44">
        <v>252</v>
      </c>
      <c r="D36" s="45"/>
      <c r="E36" s="258">
        <v>42</v>
      </c>
      <c r="F36" s="303">
        <f t="shared" si="4"/>
        <v>42</v>
      </c>
      <c r="G36" s="304">
        <v>0</v>
      </c>
      <c r="H36" s="304">
        <v>42</v>
      </c>
      <c r="I36" s="304">
        <v>0</v>
      </c>
      <c r="J36" s="304">
        <v>0</v>
      </c>
      <c r="K36" s="304">
        <v>0</v>
      </c>
      <c r="L36" s="304">
        <v>0</v>
      </c>
      <c r="M36" s="305">
        <v>0</v>
      </c>
      <c r="N36" s="348"/>
    </row>
    <row r="37" spans="1:14">
      <c r="A37" s="259" t="s">
        <v>243</v>
      </c>
      <c r="B37" s="36" t="s">
        <v>406</v>
      </c>
      <c r="C37" s="44">
        <v>252</v>
      </c>
      <c r="D37" s="45"/>
      <c r="E37" s="258">
        <v>35</v>
      </c>
      <c r="F37" s="303">
        <f t="shared" si="4"/>
        <v>35</v>
      </c>
      <c r="G37" s="304">
        <v>0</v>
      </c>
      <c r="H37" s="304">
        <v>35</v>
      </c>
      <c r="I37" s="304">
        <v>0</v>
      </c>
      <c r="J37" s="304">
        <v>0</v>
      </c>
      <c r="K37" s="304">
        <v>0</v>
      </c>
      <c r="L37" s="304">
        <v>0</v>
      </c>
      <c r="M37" s="305">
        <v>0</v>
      </c>
      <c r="N37" s="157" t="s">
        <v>409</v>
      </c>
    </row>
    <row r="38" spans="1:14">
      <c r="A38" s="259" t="s">
        <v>244</v>
      </c>
      <c r="B38" s="36"/>
      <c r="C38" s="44">
        <v>253</v>
      </c>
      <c r="D38" s="259"/>
      <c r="E38" s="258">
        <v>0</v>
      </c>
      <c r="F38" s="303">
        <f t="shared" si="4"/>
        <v>0</v>
      </c>
      <c r="G38" s="304">
        <v>0</v>
      </c>
      <c r="H38" s="304">
        <v>0</v>
      </c>
      <c r="I38" s="304">
        <v>0</v>
      </c>
      <c r="J38" s="304">
        <v>0</v>
      </c>
      <c r="K38" s="304">
        <v>0</v>
      </c>
      <c r="L38" s="304">
        <v>0</v>
      </c>
      <c r="M38" s="305">
        <v>0</v>
      </c>
      <c r="N38" s="348"/>
    </row>
    <row r="39" spans="1:14">
      <c r="A39" s="259" t="s">
        <v>245</v>
      </c>
      <c r="B39" s="36"/>
      <c r="C39" s="44">
        <v>255</v>
      </c>
      <c r="D39" s="259"/>
      <c r="E39" s="258">
        <v>0</v>
      </c>
      <c r="F39" s="303">
        <f t="shared" si="4"/>
        <v>0</v>
      </c>
      <c r="G39" s="304">
        <v>0</v>
      </c>
      <c r="H39" s="304">
        <v>0</v>
      </c>
      <c r="I39" s="304">
        <v>0</v>
      </c>
      <c r="J39" s="304">
        <v>0</v>
      </c>
      <c r="K39" s="304">
        <v>0</v>
      </c>
      <c r="L39" s="304">
        <v>0</v>
      </c>
      <c r="M39" s="305">
        <v>0</v>
      </c>
      <c r="N39" s="348"/>
    </row>
    <row r="40" spans="1:14">
      <c r="A40" s="259" t="s">
        <v>246</v>
      </c>
      <c r="B40" s="36"/>
      <c r="C40" s="44">
        <v>256</v>
      </c>
      <c r="D40" s="259"/>
      <c r="E40" s="258">
        <v>0</v>
      </c>
      <c r="F40" s="303">
        <f t="shared" si="4"/>
        <v>0</v>
      </c>
      <c r="G40" s="304">
        <v>0</v>
      </c>
      <c r="H40" s="304">
        <v>0</v>
      </c>
      <c r="I40" s="304">
        <v>0</v>
      </c>
      <c r="J40" s="304">
        <v>0</v>
      </c>
      <c r="K40" s="304">
        <v>0</v>
      </c>
      <c r="L40" s="304">
        <v>0</v>
      </c>
      <c r="M40" s="305">
        <v>0</v>
      </c>
      <c r="N40" s="348"/>
    </row>
    <row r="41" spans="1:14">
      <c r="A41" s="259" t="s">
        <v>247</v>
      </c>
      <c r="B41" s="36"/>
      <c r="C41" s="44">
        <v>257</v>
      </c>
      <c r="D41" s="259"/>
      <c r="E41" s="258">
        <v>0</v>
      </c>
      <c r="F41" s="303">
        <f t="shared" si="4"/>
        <v>0</v>
      </c>
      <c r="G41" s="304">
        <v>0</v>
      </c>
      <c r="H41" s="304">
        <v>0</v>
      </c>
      <c r="I41" s="304">
        <v>0</v>
      </c>
      <c r="J41" s="304">
        <v>0</v>
      </c>
      <c r="K41" s="304">
        <v>0</v>
      </c>
      <c r="L41" s="304">
        <v>0</v>
      </c>
      <c r="M41" s="305">
        <v>0</v>
      </c>
      <c r="N41" s="348"/>
    </row>
    <row r="42" spans="1:14">
      <c r="A42" s="259" t="s">
        <v>248</v>
      </c>
      <c r="B42" s="36"/>
      <c r="C42" s="44" t="s">
        <v>249</v>
      </c>
      <c r="D42" s="259"/>
      <c r="E42" s="258">
        <v>3</v>
      </c>
      <c r="F42" s="303">
        <f t="shared" si="4"/>
        <v>3</v>
      </c>
      <c r="G42" s="304">
        <v>0</v>
      </c>
      <c r="H42" s="304">
        <v>3</v>
      </c>
      <c r="I42" s="304">
        <v>0</v>
      </c>
      <c r="J42" s="304">
        <v>0</v>
      </c>
      <c r="K42" s="304">
        <v>0</v>
      </c>
      <c r="L42" s="304">
        <v>0</v>
      </c>
      <c r="M42" s="305">
        <v>0</v>
      </c>
      <c r="N42" s="348"/>
    </row>
    <row r="43" spans="1:14">
      <c r="A43" s="260" t="s">
        <v>250</v>
      </c>
      <c r="B43" s="36"/>
      <c r="C43" s="261" t="s">
        <v>251</v>
      </c>
      <c r="D43" s="260"/>
      <c r="E43" s="258">
        <v>7</v>
      </c>
      <c r="F43" s="303">
        <f t="shared" si="4"/>
        <v>7</v>
      </c>
      <c r="G43" s="304">
        <v>0</v>
      </c>
      <c r="H43" s="304">
        <v>7</v>
      </c>
      <c r="I43" s="304">
        <v>0</v>
      </c>
      <c r="J43" s="304">
        <v>0</v>
      </c>
      <c r="K43" s="304">
        <v>0</v>
      </c>
      <c r="L43" s="304">
        <v>0</v>
      </c>
      <c r="M43" s="305">
        <v>0</v>
      </c>
      <c r="N43" s="348"/>
    </row>
    <row r="44" spans="1:14">
      <c r="A44" s="40" t="s">
        <v>254</v>
      </c>
      <c r="B44" s="260"/>
      <c r="C44" s="261"/>
      <c r="D44" s="262"/>
      <c r="E44" s="43">
        <f t="shared" ref="E44:M44" si="5">SUM(E31:E43)</f>
        <v>99</v>
      </c>
      <c r="F44" s="43">
        <f t="shared" si="5"/>
        <v>99</v>
      </c>
      <c r="G44" s="43">
        <f t="shared" si="5"/>
        <v>0</v>
      </c>
      <c r="H44" s="43">
        <f t="shared" si="5"/>
        <v>99</v>
      </c>
      <c r="I44" s="43">
        <f t="shared" si="5"/>
        <v>0</v>
      </c>
      <c r="J44" s="43">
        <f t="shared" si="5"/>
        <v>0</v>
      </c>
      <c r="K44" s="43">
        <f t="shared" si="5"/>
        <v>0</v>
      </c>
      <c r="L44" s="43">
        <f t="shared" si="5"/>
        <v>0</v>
      </c>
      <c r="M44" s="43">
        <f t="shared" si="5"/>
        <v>0</v>
      </c>
      <c r="N44" s="348"/>
    </row>
    <row r="45" spans="1:14" s="149" customFormat="1">
      <c r="A45" s="40" t="s">
        <v>255</v>
      </c>
      <c r="B45" s="51"/>
      <c r="C45" s="147"/>
      <c r="D45" s="262"/>
      <c r="E45" s="42"/>
      <c r="F45" s="235">
        <f>SUM(G45:L45)</f>
        <v>185</v>
      </c>
      <c r="G45" s="235"/>
      <c r="H45" s="235">
        <f>110+75</f>
        <v>185</v>
      </c>
      <c r="I45" s="235"/>
      <c r="J45" s="235"/>
      <c r="K45" s="235"/>
      <c r="L45" s="235"/>
      <c r="M45" s="235"/>
      <c r="N45" s="348"/>
    </row>
    <row r="46" spans="1:14">
      <c r="A46" s="40" t="s">
        <v>256</v>
      </c>
      <c r="B46" s="46"/>
      <c r="C46" s="47"/>
      <c r="D46" s="48">
        <f>D44+D29+D23</f>
        <v>11.5</v>
      </c>
      <c r="E46" s="42">
        <f>+E44+E29+E23</f>
        <v>1234</v>
      </c>
      <c r="F46" s="17">
        <f t="shared" ref="F46:M46" si="6">F44+F29+F23-F45</f>
        <v>1032</v>
      </c>
      <c r="G46" s="17">
        <f t="shared" si="6"/>
        <v>0</v>
      </c>
      <c r="H46" s="17">
        <f t="shared" si="6"/>
        <v>1032</v>
      </c>
      <c r="I46" s="17">
        <f t="shared" si="6"/>
        <v>0</v>
      </c>
      <c r="J46" s="17">
        <f t="shared" si="6"/>
        <v>0</v>
      </c>
      <c r="K46" s="17">
        <f t="shared" si="6"/>
        <v>0</v>
      </c>
      <c r="L46" s="17">
        <f t="shared" si="6"/>
        <v>0</v>
      </c>
      <c r="M46" s="17">
        <f t="shared" si="6"/>
        <v>0</v>
      </c>
      <c r="N46" s="346"/>
    </row>
    <row r="48" spans="1:14">
      <c r="A48" s="921" t="s">
        <v>390</v>
      </c>
      <c r="B48" s="922"/>
      <c r="C48" s="922"/>
      <c r="D48" s="922"/>
      <c r="E48" s="923"/>
      <c r="F48" s="303" t="s">
        <v>391</v>
      </c>
      <c r="G48" s="304" t="s">
        <v>0</v>
      </c>
      <c r="H48" s="304" t="s">
        <v>1</v>
      </c>
      <c r="I48" s="304" t="s">
        <v>2</v>
      </c>
      <c r="J48" s="304" t="s">
        <v>3</v>
      </c>
      <c r="K48" s="304" t="s">
        <v>4</v>
      </c>
      <c r="L48" s="304" t="s">
        <v>26</v>
      </c>
      <c r="M48" s="305"/>
      <c r="N48" s="348" t="s">
        <v>215</v>
      </c>
    </row>
    <row r="49" spans="1:14">
      <c r="A49" s="924" t="s">
        <v>392</v>
      </c>
      <c r="B49" s="925"/>
      <c r="C49" s="925"/>
      <c r="D49" s="926"/>
      <c r="E49" s="89"/>
      <c r="F49" s="86"/>
      <c r="G49" s="88">
        <v>0.05</v>
      </c>
      <c r="H49" s="88">
        <v>0.57999999999999996</v>
      </c>
      <c r="I49" s="88">
        <v>0.12</v>
      </c>
      <c r="J49" s="88">
        <v>0.25</v>
      </c>
      <c r="K49" s="88">
        <v>0</v>
      </c>
      <c r="L49" s="88"/>
      <c r="M49" s="86"/>
      <c r="N49" s="87"/>
    </row>
    <row r="50" spans="1:14" ht="15" thickBot="1">
      <c r="A50" s="915" t="s">
        <v>393</v>
      </c>
      <c r="B50" s="916"/>
      <c r="C50" s="916"/>
      <c r="D50" s="917"/>
      <c r="E50" s="81"/>
      <c r="F50" s="82">
        <f>F46</f>
        <v>1032</v>
      </c>
      <c r="G50" s="83">
        <f t="shared" ref="G50:M50" si="7">$F50*G49</f>
        <v>51.6</v>
      </c>
      <c r="H50" s="83">
        <f t="shared" si="7"/>
        <v>598.55999999999995</v>
      </c>
      <c r="I50" s="83">
        <f t="shared" si="7"/>
        <v>123.83999999999999</v>
      </c>
      <c r="J50" s="83">
        <f t="shared" si="7"/>
        <v>258</v>
      </c>
      <c r="K50" s="83">
        <f t="shared" si="7"/>
        <v>0</v>
      </c>
      <c r="L50" s="83">
        <f t="shared" si="7"/>
        <v>0</v>
      </c>
      <c r="M50" s="84">
        <f t="shared" si="7"/>
        <v>0</v>
      </c>
      <c r="N50" s="85"/>
    </row>
    <row r="51" spans="1:14">
      <c r="A51" s="918" t="s">
        <v>394</v>
      </c>
      <c r="B51" s="919"/>
      <c r="C51" s="919"/>
      <c r="D51" s="920"/>
      <c r="E51" s="76"/>
      <c r="F51" s="77"/>
      <c r="G51" s="78">
        <f t="shared" ref="G51:M51" si="8">G46-G50</f>
        <v>-51.6</v>
      </c>
      <c r="H51" s="78">
        <f t="shared" si="8"/>
        <v>433.44000000000005</v>
      </c>
      <c r="I51" s="78">
        <f t="shared" si="8"/>
        <v>-123.83999999999999</v>
      </c>
      <c r="J51" s="78">
        <f t="shared" si="8"/>
        <v>-258</v>
      </c>
      <c r="K51" s="78">
        <f t="shared" si="8"/>
        <v>0</v>
      </c>
      <c r="L51" s="78">
        <f t="shared" si="8"/>
        <v>0</v>
      </c>
      <c r="M51" s="79">
        <f t="shared" si="8"/>
        <v>0</v>
      </c>
      <c r="N51" s="80"/>
    </row>
    <row r="52" spans="1:14">
      <c r="A52" s="370"/>
      <c r="B52" s="370"/>
      <c r="C52" s="639"/>
      <c r="D52" s="370"/>
      <c r="E52" s="370"/>
      <c r="F52" s="370"/>
      <c r="G52" s="351"/>
      <c r="H52" s="360" t="s">
        <v>1234</v>
      </c>
      <c r="I52" s="360"/>
      <c r="J52" s="360"/>
      <c r="K52" s="360"/>
      <c r="L52" s="361"/>
      <c r="M52" s="370"/>
      <c r="N52" s="370"/>
    </row>
    <row r="53" spans="1:14">
      <c r="C53" s="370"/>
      <c r="D53" s="370"/>
      <c r="E53" s="370"/>
      <c r="F53" s="351" t="s">
        <v>1014</v>
      </c>
      <c r="G53" s="351">
        <v>3</v>
      </c>
      <c r="H53" s="361">
        <v>59</v>
      </c>
      <c r="I53" s="362">
        <v>12</v>
      </c>
      <c r="J53" s="361">
        <v>26</v>
      </c>
      <c r="K53" s="361"/>
      <c r="L53" s="361"/>
      <c r="M53" s="370"/>
    </row>
    <row r="54" spans="1:14">
      <c r="C54" s="370"/>
      <c r="D54" s="370"/>
      <c r="E54" s="370"/>
      <c r="F54" s="351" t="s">
        <v>736</v>
      </c>
      <c r="G54" s="351">
        <v>0</v>
      </c>
      <c r="H54" s="361">
        <v>58</v>
      </c>
      <c r="I54" s="362">
        <v>12</v>
      </c>
      <c r="J54" s="361">
        <v>30</v>
      </c>
      <c r="K54" s="361"/>
      <c r="L54" s="493"/>
      <c r="M54" s="370"/>
    </row>
    <row r="57" spans="1:14">
      <c r="C57" s="370"/>
      <c r="D57" s="370"/>
      <c r="E57" s="370"/>
      <c r="F57" s="283" t="s">
        <v>1152</v>
      </c>
      <c r="G57" s="370" t="s">
        <v>0</v>
      </c>
      <c r="H57" s="370" t="s">
        <v>1</v>
      </c>
      <c r="I57" s="370" t="s">
        <v>2</v>
      </c>
      <c r="J57" s="370" t="s">
        <v>3</v>
      </c>
      <c r="K57" s="370" t="s">
        <v>5</v>
      </c>
      <c r="L57" s="370"/>
      <c r="M57" s="370"/>
    </row>
    <row r="58" spans="1:14">
      <c r="C58" s="639"/>
      <c r="D58" s="370"/>
      <c r="E58" s="370"/>
      <c r="F58" s="370" t="s">
        <v>24</v>
      </c>
      <c r="G58" s="481">
        <f>(+G50*'Prep%Fuelspercentage.direct'!$B$38)+2.4</f>
        <v>38.344560000000001</v>
      </c>
      <c r="H58" s="481">
        <f>(+H50*'Prep%Fuelspercentage.direct'!$B$38)+3.8</f>
        <v>420.75689599999998</v>
      </c>
      <c r="I58" s="481">
        <f>(+I50*'Prep%Fuelspercentage.direct'!$B$38)+3</f>
        <v>89.266943999999995</v>
      </c>
      <c r="J58" s="481">
        <f>(+J50*'Prep%Fuelspercentage.direct'!$B$38)+4</f>
        <v>183.72280000000001</v>
      </c>
      <c r="K58" s="417">
        <f>SUM(G58:J58)</f>
        <v>732.09119999999996</v>
      </c>
      <c r="L58" s="370" t="s">
        <v>1408</v>
      </c>
      <c r="M58" s="370"/>
    </row>
    <row r="59" spans="1:14">
      <c r="C59" s="639"/>
      <c r="D59" s="370"/>
      <c r="E59" s="370"/>
      <c r="F59" s="370" t="s">
        <v>25</v>
      </c>
      <c r="G59" s="481">
        <f>(+G50*'Prep%Fuelspercentage.direct'!$B$39)-2.4</f>
        <v>13.25544</v>
      </c>
      <c r="H59" s="481">
        <f>(+H50*'Prep%Fuelspercentage.direct'!$B$39)-4.1</f>
        <v>177.50310399999998</v>
      </c>
      <c r="I59" s="481">
        <f>(+I50*'Prep%Fuelspercentage.direct'!$B$39)-3</f>
        <v>34.573055999999994</v>
      </c>
      <c r="J59" s="481">
        <f>(+J50*'Prep%Fuelspercentage.direct'!$B$39)-4</f>
        <v>74.277200000000008</v>
      </c>
      <c r="K59" s="417">
        <f>SUM(G59:J59)</f>
        <v>299.60879999999997</v>
      </c>
      <c r="L59" s="370" t="s">
        <v>1409</v>
      </c>
      <c r="M59" s="370"/>
    </row>
    <row r="60" spans="1:14">
      <c r="C60" s="639"/>
      <c r="D60" s="370"/>
      <c r="E60" s="370"/>
      <c r="F60" s="370"/>
      <c r="G60" s="370"/>
      <c r="H60" s="370"/>
      <c r="I60" s="370"/>
      <c r="J60" s="370"/>
      <c r="K60" s="370"/>
      <c r="L60" s="370"/>
      <c r="M60" s="370"/>
    </row>
    <row r="61" spans="1:14">
      <c r="C61" s="639"/>
      <c r="D61" s="370"/>
      <c r="E61" s="370"/>
      <c r="F61" s="370" t="s">
        <v>410</v>
      </c>
      <c r="G61" s="382">
        <f>SUM(G58:G60)</f>
        <v>51.6</v>
      </c>
      <c r="H61" s="382">
        <f>SUM(H58:H60)</f>
        <v>598.26</v>
      </c>
      <c r="I61" s="382">
        <f>SUM(I58:I60)</f>
        <v>123.83999999999999</v>
      </c>
      <c r="J61" s="382">
        <f>SUM(J58:J60)</f>
        <v>258</v>
      </c>
      <c r="K61" s="417">
        <f>SUM(K58:K60)</f>
        <v>1031.6999999999998</v>
      </c>
      <c r="L61" s="817">
        <f>704+328</f>
        <v>1032</v>
      </c>
      <c r="M61" s="370"/>
    </row>
    <row r="62" spans="1:14">
      <c r="G62">
        <v>52</v>
      </c>
      <c r="H62">
        <v>598</v>
      </c>
      <c r="I62">
        <v>124</v>
      </c>
      <c r="J62">
        <v>258</v>
      </c>
      <c r="K62">
        <f>SUM(G62:J62)</f>
        <v>1032</v>
      </c>
    </row>
    <row r="64" spans="1:14">
      <c r="C64" s="639"/>
      <c r="D64" s="370"/>
      <c r="E64" s="370"/>
      <c r="F64" s="283" t="s">
        <v>737</v>
      </c>
      <c r="G64" s="370" t="s">
        <v>0</v>
      </c>
      <c r="H64" s="370" t="s">
        <v>1</v>
      </c>
      <c r="I64" s="370" t="s">
        <v>2</v>
      </c>
      <c r="J64" s="370" t="s">
        <v>3</v>
      </c>
      <c r="K64" s="370" t="s">
        <v>5</v>
      </c>
      <c r="L64" s="370" t="s">
        <v>411</v>
      </c>
      <c r="M64" s="370"/>
    </row>
    <row r="65" spans="1:14">
      <c r="C65" s="639"/>
      <c r="D65" s="370"/>
      <c r="E65" s="370"/>
      <c r="F65" s="370" t="s">
        <v>24</v>
      </c>
      <c r="G65" s="481"/>
      <c r="H65" s="481">
        <v>438.0922119999999</v>
      </c>
      <c r="I65" s="481">
        <v>90.639767999999989</v>
      </c>
      <c r="J65" s="481">
        <v>226.59941999999998</v>
      </c>
      <c r="K65" s="417">
        <f>SUM(G65:J65)</f>
        <v>755.33139999999992</v>
      </c>
      <c r="L65" s="370"/>
      <c r="M65" s="370"/>
    </row>
    <row r="66" spans="1:14">
      <c r="C66" s="639"/>
      <c r="D66" s="370"/>
      <c r="E66" s="370"/>
      <c r="F66" s="370" t="s">
        <v>25</v>
      </c>
      <c r="G66" s="481"/>
      <c r="H66" s="481">
        <v>277.62778800000001</v>
      </c>
      <c r="I66" s="481">
        <v>57.440231999999995</v>
      </c>
      <c r="J66" s="481">
        <v>143.60058000000001</v>
      </c>
      <c r="K66" s="417">
        <f>SUM(G66:J66)</f>
        <v>478.66859999999997</v>
      </c>
      <c r="L66" s="370"/>
      <c r="M66" s="370"/>
    </row>
    <row r="67" spans="1:14">
      <c r="C67" s="639"/>
      <c r="D67" s="370"/>
      <c r="E67" s="370"/>
      <c r="F67" s="370"/>
      <c r="G67" s="370"/>
      <c r="H67" s="370"/>
      <c r="I67" s="370"/>
      <c r="J67" s="370"/>
      <c r="K67" s="370"/>
      <c r="L67" s="370"/>
      <c r="M67" s="370"/>
    </row>
    <row r="68" spans="1:14">
      <c r="C68" s="639"/>
      <c r="D68" s="370"/>
      <c r="E68" s="370"/>
      <c r="F68" s="370" t="s">
        <v>410</v>
      </c>
      <c r="G68" s="382">
        <f>SUM(G65:G67)</f>
        <v>0</v>
      </c>
      <c r="H68" s="382">
        <f>SUM(H65:H67)</f>
        <v>715.71999999999991</v>
      </c>
      <c r="I68" s="382">
        <f>SUM(I65:I67)</f>
        <v>148.07999999999998</v>
      </c>
      <c r="J68" s="382">
        <f>SUM(J65:J67)</f>
        <v>370.2</v>
      </c>
      <c r="K68" s="417">
        <f>SUM(G68:J68)</f>
        <v>1234</v>
      </c>
      <c r="L68" s="382"/>
      <c r="M68" s="370"/>
    </row>
    <row r="71" spans="1:14">
      <c r="A71" s="370"/>
      <c r="B71" s="370"/>
      <c r="C71" s="639"/>
      <c r="D71" s="370"/>
      <c r="E71" s="370"/>
      <c r="F71" s="370" t="s">
        <v>1015</v>
      </c>
      <c r="G71" s="370"/>
      <c r="H71" s="382">
        <v>62.639999999999986</v>
      </c>
      <c r="I71" s="382">
        <v>12.95999999999998</v>
      </c>
      <c r="J71" s="382">
        <v>32.399999999999977</v>
      </c>
      <c r="K71" s="382">
        <f>SUM(H71:J71)</f>
        <v>107.99999999999994</v>
      </c>
      <c r="L71" s="370" t="s">
        <v>1016</v>
      </c>
      <c r="M71" s="370"/>
      <c r="N71" s="370"/>
    </row>
    <row r="72" spans="1:14">
      <c r="G72" s="382">
        <f>+G68</f>
        <v>0</v>
      </c>
      <c r="H72" s="382">
        <f>+H68-H71</f>
        <v>653.07999999999993</v>
      </c>
      <c r="I72" s="382">
        <f>+I68-I71</f>
        <v>135.12</v>
      </c>
      <c r="J72" s="382">
        <f>+J68-J71</f>
        <v>337.8</v>
      </c>
      <c r="K72" s="382">
        <f>+K68-K71</f>
        <v>1126</v>
      </c>
    </row>
    <row r="74" spans="1:14" s="370" customFormat="1" ht="15" thickBot="1">
      <c r="A74" s="31"/>
      <c r="B74" s="31"/>
      <c r="C74" s="32"/>
      <c r="D74" s="31"/>
      <c r="E74" s="31"/>
      <c r="F74" s="31"/>
      <c r="G74" s="31"/>
      <c r="H74" s="31"/>
      <c r="K74" s="480"/>
    </row>
    <row r="75" spans="1:14" s="370" customFormat="1" ht="15.5">
      <c r="A75" s="873" t="s">
        <v>257</v>
      </c>
      <c r="B75" s="874"/>
      <c r="C75" s="874"/>
      <c r="D75" s="874"/>
      <c r="E75" s="874"/>
      <c r="F75" s="874"/>
      <c r="G75" s="550"/>
      <c r="H75" s="31"/>
      <c r="K75" s="480"/>
      <c r="N75" s="571"/>
    </row>
    <row r="76" spans="1:14" s="370" customFormat="1" ht="15.5">
      <c r="A76" s="875"/>
      <c r="B76" s="876"/>
      <c r="C76" s="876"/>
      <c r="D76" s="876"/>
      <c r="E76" s="876"/>
      <c r="F76" s="876"/>
      <c r="G76" s="551"/>
      <c r="H76" s="31"/>
      <c r="I76" s="31"/>
      <c r="J76" s="31"/>
      <c r="K76" s="31"/>
      <c r="L76" s="31"/>
      <c r="M76" s="31"/>
      <c r="N76" s="536"/>
    </row>
    <row r="77" spans="1:14" s="370" customFormat="1">
      <c r="A77" s="877" t="s">
        <v>258</v>
      </c>
      <c r="B77" s="878"/>
      <c r="C77" s="552"/>
      <c r="D77" s="552"/>
      <c r="E77" s="552"/>
      <c r="F77" s="552"/>
      <c r="G77" s="551"/>
      <c r="H77" s="31"/>
      <c r="I77" s="31"/>
      <c r="J77" s="31"/>
      <c r="K77" s="31"/>
      <c r="L77" s="31"/>
      <c r="M77" s="31"/>
      <c r="N77" s="536"/>
    </row>
    <row r="78" spans="1:14" s="370" customFormat="1">
      <c r="A78" s="553" t="s">
        <v>1028</v>
      </c>
      <c r="B78" s="554">
        <f>E46</f>
        <v>1234</v>
      </c>
      <c r="C78" s="555"/>
      <c r="D78" s="556"/>
      <c r="E78" s="556"/>
      <c r="F78" s="556"/>
      <c r="G78" s="551"/>
      <c r="H78" s="31"/>
      <c r="I78" s="31"/>
      <c r="J78" s="31"/>
      <c r="K78" s="31"/>
      <c r="L78" s="31"/>
      <c r="M78" s="31"/>
      <c r="N78" s="536"/>
    </row>
    <row r="79" spans="1:14" s="370" customFormat="1">
      <c r="A79" s="557" t="s">
        <v>1029</v>
      </c>
      <c r="B79" s="558">
        <f>F46</f>
        <v>1032</v>
      </c>
      <c r="C79" s="555"/>
      <c r="D79" s="556"/>
      <c r="E79" s="556"/>
      <c r="F79" s="556"/>
      <c r="G79" s="551"/>
      <c r="H79" s="31"/>
      <c r="I79" s="31"/>
      <c r="J79" s="31"/>
      <c r="K79" s="31"/>
      <c r="L79" s="31"/>
      <c r="M79" s="31"/>
      <c r="N79" s="536"/>
    </row>
    <row r="80" spans="1:14" s="370" customFormat="1">
      <c r="A80" s="559" t="s">
        <v>259</v>
      </c>
      <c r="B80" s="560">
        <f>B79-B78</f>
        <v>-202</v>
      </c>
      <c r="C80" s="555"/>
      <c r="D80" s="556"/>
      <c r="E80" s="556"/>
      <c r="F80" s="556"/>
      <c r="G80" s="551"/>
      <c r="H80" s="31"/>
      <c r="I80" s="31"/>
      <c r="J80" s="31"/>
      <c r="K80" s="31"/>
      <c r="L80" s="31"/>
      <c r="M80" s="31"/>
      <c r="N80" s="536"/>
    </row>
    <row r="81" spans="1:14" s="370" customFormat="1">
      <c r="A81" s="559" t="s">
        <v>260</v>
      </c>
      <c r="B81" s="561">
        <f>B80/B78</f>
        <v>-0.16369529983792544</v>
      </c>
      <c r="C81" s="555"/>
      <c r="D81" s="556"/>
      <c r="E81" s="556"/>
      <c r="F81" s="556"/>
      <c r="G81" s="551"/>
      <c r="H81" s="31"/>
      <c r="I81" s="31"/>
      <c r="J81" s="31"/>
      <c r="K81" s="31"/>
      <c r="L81" s="31"/>
      <c r="M81" s="31"/>
      <c r="N81" s="536"/>
    </row>
    <row r="82" spans="1:14" s="370" customFormat="1">
      <c r="A82" s="562"/>
      <c r="B82" s="556"/>
      <c r="C82" s="660"/>
      <c r="D82" s="556"/>
      <c r="E82" s="556"/>
      <c r="F82" s="556"/>
      <c r="G82" s="551"/>
      <c r="H82" s="31"/>
      <c r="I82" s="31"/>
      <c r="J82" s="31"/>
      <c r="K82" s="31"/>
      <c r="L82" s="31"/>
      <c r="M82" s="31"/>
      <c r="N82" s="536"/>
    </row>
    <row r="83" spans="1:14" s="370" customFormat="1">
      <c r="A83" s="879" t="s">
        <v>261</v>
      </c>
      <c r="B83" s="880"/>
      <c r="C83" s="880"/>
      <c r="D83" s="880"/>
      <c r="E83" s="880"/>
      <c r="F83" s="880"/>
      <c r="G83" s="551"/>
      <c r="H83" s="31"/>
      <c r="I83" s="31"/>
      <c r="J83" s="31"/>
      <c r="K83" s="31"/>
      <c r="L83" s="31"/>
      <c r="M83" s="31"/>
      <c r="N83" s="536"/>
    </row>
    <row r="84" spans="1:14" s="370" customFormat="1" ht="14.5" customHeight="1">
      <c r="A84" s="900" t="s">
        <v>1191</v>
      </c>
      <c r="B84" s="901"/>
      <c r="C84" s="901"/>
      <c r="D84" s="901"/>
      <c r="E84" s="901"/>
      <c r="F84" s="902"/>
      <c r="G84" s="551"/>
      <c r="H84" s="31"/>
      <c r="I84" s="31"/>
      <c r="J84" s="31"/>
      <c r="K84" s="31"/>
      <c r="L84" s="31"/>
      <c r="M84" s="31"/>
      <c r="N84" s="536"/>
    </row>
    <row r="85" spans="1:14" s="370" customFormat="1">
      <c r="A85" s="563"/>
      <c r="B85" s="564"/>
      <c r="C85" s="564"/>
      <c r="D85" s="564"/>
      <c r="E85" s="564"/>
      <c r="F85" s="564"/>
      <c r="G85" s="551"/>
      <c r="H85" s="31"/>
      <c r="I85" s="31"/>
      <c r="J85" s="31"/>
      <c r="K85" s="31"/>
      <c r="L85" s="31"/>
      <c r="M85" s="31"/>
      <c r="N85" s="536"/>
    </row>
    <row r="86" spans="1:14" s="370" customFormat="1">
      <c r="A86" s="565" t="s">
        <v>262</v>
      </c>
      <c r="B86" s="556"/>
      <c r="C86" s="716"/>
      <c r="D86" s="556"/>
      <c r="E86" s="556"/>
      <c r="F86" s="556"/>
      <c r="G86" s="551"/>
      <c r="H86" s="31"/>
      <c r="I86" s="31"/>
      <c r="J86" s="31"/>
      <c r="K86" s="31"/>
      <c r="L86" s="31"/>
      <c r="M86" s="31"/>
      <c r="N86" s="536"/>
    </row>
    <row r="87" spans="1:14" s="370" customFormat="1" ht="59.4" customHeight="1">
      <c r="A87" s="900" t="s">
        <v>1192</v>
      </c>
      <c r="B87" s="901"/>
      <c r="C87" s="901"/>
      <c r="D87" s="901"/>
      <c r="E87" s="901"/>
      <c r="F87" s="902"/>
      <c r="G87" s="551"/>
      <c r="H87" s="31"/>
      <c r="I87" s="31"/>
      <c r="J87" s="31"/>
      <c r="K87" s="31"/>
      <c r="L87" s="31"/>
      <c r="M87" s="31"/>
      <c r="N87" s="536"/>
    </row>
    <row r="88" spans="1:14" s="370" customFormat="1">
      <c r="A88" s="562"/>
      <c r="B88" s="556"/>
      <c r="C88" s="716"/>
      <c r="D88" s="556"/>
      <c r="E88" s="556"/>
      <c r="F88" s="556"/>
      <c r="G88" s="551"/>
      <c r="H88" s="31"/>
      <c r="I88" s="31"/>
      <c r="J88" s="31"/>
      <c r="K88" s="31"/>
      <c r="L88" s="31"/>
      <c r="M88" s="31"/>
      <c r="N88" s="536"/>
    </row>
    <row r="89" spans="1:14" s="370" customFormat="1">
      <c r="A89" s="879" t="s">
        <v>1020</v>
      </c>
      <c r="B89" s="880"/>
      <c r="C89" s="880"/>
      <c r="D89" s="880"/>
      <c r="E89" s="880"/>
      <c r="F89" s="880"/>
      <c r="G89" s="551"/>
      <c r="H89" s="31"/>
      <c r="I89" s="31"/>
      <c r="J89" s="31"/>
      <c r="K89" s="31"/>
      <c r="L89" s="31"/>
      <c r="M89" s="31"/>
      <c r="N89" s="536"/>
    </row>
    <row r="90" spans="1:14" s="370" customFormat="1">
      <c r="A90" s="898" t="s">
        <v>1021</v>
      </c>
      <c r="B90" s="899"/>
      <c r="C90" s="899"/>
      <c r="D90" s="899"/>
      <c r="E90" s="899"/>
      <c r="F90" s="899"/>
      <c r="G90" s="551"/>
      <c r="H90" s="31"/>
      <c r="I90" s="31"/>
      <c r="J90" s="31"/>
      <c r="K90" s="31"/>
      <c r="L90" s="31"/>
      <c r="M90" s="31"/>
      <c r="N90" s="536"/>
    </row>
    <row r="91" spans="1:14" s="370" customFormat="1" ht="18.5" customHeight="1">
      <c r="A91" s="900" t="s">
        <v>1193</v>
      </c>
      <c r="B91" s="901"/>
      <c r="C91" s="901"/>
      <c r="D91" s="901"/>
      <c r="E91" s="901"/>
      <c r="F91" s="902"/>
      <c r="G91" s="551"/>
      <c r="H91" s="31"/>
      <c r="I91" s="31"/>
      <c r="J91" s="31"/>
      <c r="K91" s="31"/>
      <c r="L91" s="31"/>
      <c r="M91" s="31"/>
      <c r="N91" s="536"/>
    </row>
    <row r="92" spans="1:14" s="370" customFormat="1">
      <c r="A92" s="565"/>
      <c r="B92" s="556"/>
      <c r="C92" s="716"/>
      <c r="D92" s="556"/>
      <c r="E92" s="556"/>
      <c r="F92" s="556"/>
      <c r="G92" s="551"/>
      <c r="H92" s="31"/>
      <c r="I92" s="31"/>
      <c r="J92" s="31"/>
      <c r="K92" s="31"/>
      <c r="L92" s="31"/>
      <c r="M92" s="31"/>
      <c r="N92" s="536"/>
    </row>
    <row r="93" spans="1:14" s="370" customFormat="1">
      <c r="A93" s="879" t="s">
        <v>264</v>
      </c>
      <c r="B93" s="880"/>
      <c r="C93" s="880"/>
      <c r="D93" s="880"/>
      <c r="E93" s="880"/>
      <c r="F93" s="556"/>
      <c r="G93" s="551"/>
      <c r="H93" s="31"/>
      <c r="I93" s="31"/>
      <c r="J93" s="31"/>
      <c r="K93" s="31"/>
      <c r="L93" s="31"/>
      <c r="M93" s="31"/>
      <c r="N93" s="536"/>
    </row>
    <row r="94" spans="1:14" s="370" customFormat="1" ht="30.15" customHeight="1">
      <c r="A94" s="900" t="s">
        <v>1194</v>
      </c>
      <c r="B94" s="901"/>
      <c r="C94" s="901"/>
      <c r="D94" s="901"/>
      <c r="E94" s="901"/>
      <c r="F94" s="902"/>
      <c r="G94" s="551"/>
      <c r="H94" s="31"/>
      <c r="I94" s="31"/>
      <c r="J94" s="31"/>
      <c r="K94" s="31"/>
      <c r="L94" s="31"/>
      <c r="M94" s="31"/>
      <c r="N94" s="536"/>
    </row>
    <row r="95" spans="1:14" s="370" customFormat="1">
      <c r="A95" s="562"/>
      <c r="B95" s="556"/>
      <c r="C95" s="716"/>
      <c r="D95" s="556"/>
      <c r="E95" s="556"/>
      <c r="F95" s="556"/>
      <c r="G95" s="551"/>
      <c r="H95" s="31"/>
      <c r="I95" s="31"/>
      <c r="J95" s="31"/>
      <c r="K95" s="31"/>
      <c r="L95" s="31"/>
      <c r="M95" s="31"/>
      <c r="N95" s="536"/>
    </row>
    <row r="96" spans="1:14" s="370" customFormat="1">
      <c r="A96" s="565" t="s">
        <v>265</v>
      </c>
      <c r="B96" s="556"/>
      <c r="C96" s="716"/>
      <c r="D96" s="556"/>
      <c r="E96" s="556"/>
      <c r="F96" s="556"/>
      <c r="G96" s="551"/>
      <c r="H96" s="31"/>
      <c r="I96" s="31"/>
      <c r="J96" s="31"/>
      <c r="K96" s="31"/>
      <c r="L96" s="31"/>
      <c r="M96" s="31"/>
      <c r="N96" s="536"/>
    </row>
    <row r="97" spans="1:14" s="370" customFormat="1">
      <c r="A97" s="566" t="s">
        <v>266</v>
      </c>
      <c r="B97" s="556"/>
      <c r="C97" s="716"/>
      <c r="D97" s="556"/>
      <c r="E97" s="556"/>
      <c r="F97" s="556"/>
      <c r="G97" s="551"/>
      <c r="H97" s="31"/>
      <c r="I97" s="31"/>
      <c r="J97" s="31"/>
      <c r="K97" s="31"/>
      <c r="L97" s="31"/>
      <c r="M97" s="31"/>
      <c r="N97" s="536"/>
    </row>
    <row r="98" spans="1:14" s="370" customFormat="1" ht="26.25" customHeight="1">
      <c r="A98" s="892" t="s">
        <v>1030</v>
      </c>
      <c r="B98" s="893"/>
      <c r="C98" s="893"/>
      <c r="D98" s="893"/>
      <c r="E98" s="893"/>
      <c r="F98" s="893"/>
      <c r="G98" s="551"/>
      <c r="H98" s="31"/>
      <c r="I98" s="31"/>
      <c r="J98" s="31"/>
      <c r="K98" s="31"/>
      <c r="L98" s="31"/>
      <c r="M98" s="31"/>
      <c r="N98" s="536"/>
    </row>
    <row r="99" spans="1:14" s="370" customFormat="1" ht="26.25" customHeight="1">
      <c r="A99" s="900" t="s">
        <v>1153</v>
      </c>
      <c r="B99" s="901"/>
      <c r="C99" s="901"/>
      <c r="D99" s="901"/>
      <c r="E99" s="901"/>
      <c r="F99" s="902"/>
      <c r="G99" s="551"/>
      <c r="H99" s="31"/>
      <c r="I99" s="31"/>
      <c r="J99" s="31"/>
      <c r="K99" s="31"/>
      <c r="L99" s="31"/>
      <c r="M99" s="31"/>
      <c r="N99" s="536"/>
    </row>
    <row r="100" spans="1:14" s="370" customFormat="1">
      <c r="A100" s="894"/>
      <c r="B100" s="895"/>
      <c r="C100" s="895"/>
      <c r="D100" s="895"/>
      <c r="E100" s="895"/>
      <c r="F100" s="895"/>
      <c r="G100" s="551"/>
      <c r="H100" s="31"/>
      <c r="I100" s="31"/>
      <c r="J100" s="31"/>
      <c r="K100" s="31"/>
      <c r="L100" s="31"/>
      <c r="M100" s="31"/>
      <c r="N100" s="536"/>
    </row>
    <row r="101" spans="1:14" s="370" customFormat="1">
      <c r="A101" s="566" t="s">
        <v>268</v>
      </c>
      <c r="B101" s="556"/>
      <c r="C101" s="716"/>
      <c r="D101" s="556"/>
      <c r="E101" s="556"/>
      <c r="F101" s="556"/>
      <c r="G101" s="551"/>
      <c r="H101" s="31"/>
      <c r="I101" s="31"/>
      <c r="J101" s="31"/>
      <c r="K101" s="31"/>
      <c r="L101" s="31"/>
      <c r="M101" s="31"/>
      <c r="N101" s="536"/>
    </row>
    <row r="102" spans="1:14" s="370" customFormat="1" ht="28.65" customHeight="1">
      <c r="A102" s="896" t="s">
        <v>269</v>
      </c>
      <c r="B102" s="897"/>
      <c r="C102" s="897"/>
      <c r="D102" s="897"/>
      <c r="E102" s="897"/>
      <c r="F102" s="897"/>
      <c r="G102" s="551"/>
      <c r="H102" s="31"/>
      <c r="I102" s="31"/>
      <c r="J102" s="31"/>
      <c r="K102" s="31"/>
      <c r="L102" s="31"/>
      <c r="M102" s="31"/>
      <c r="N102" s="536"/>
    </row>
    <row r="103" spans="1:14" s="370" customFormat="1" ht="30.75" customHeight="1">
      <c r="A103" s="900" t="s">
        <v>452</v>
      </c>
      <c r="B103" s="901"/>
      <c r="C103" s="901"/>
      <c r="D103" s="901"/>
      <c r="E103" s="901"/>
      <c r="F103" s="902"/>
      <c r="G103" s="551"/>
      <c r="H103" s="31"/>
      <c r="I103" s="31"/>
      <c r="J103" s="31"/>
      <c r="K103" s="31"/>
      <c r="L103" s="31"/>
      <c r="M103" s="31"/>
      <c r="N103" s="536"/>
    </row>
    <row r="104" spans="1:14" s="370" customFormat="1" ht="15" thickBot="1">
      <c r="A104" s="567"/>
      <c r="B104" s="568"/>
      <c r="C104" s="569"/>
      <c r="D104" s="568"/>
      <c r="E104" s="568"/>
      <c r="F104" s="568"/>
      <c r="G104" s="570"/>
      <c r="H104" s="31"/>
      <c r="I104" s="31"/>
      <c r="J104" s="31"/>
      <c r="K104" s="31"/>
      <c r="L104" s="31"/>
      <c r="M104" s="31"/>
      <c r="N104" s="536"/>
    </row>
    <row r="105" spans="1:14" s="370" customFormat="1">
      <c r="A105" s="31"/>
      <c r="B105" s="31"/>
      <c r="C105" s="32"/>
      <c r="D105" s="31"/>
      <c r="E105" s="31"/>
      <c r="F105" s="31"/>
      <c r="G105" s="31"/>
      <c r="H105" s="31"/>
      <c r="I105" s="31"/>
      <c r="J105" s="31"/>
      <c r="K105" s="31"/>
      <c r="L105" s="31"/>
      <c r="M105" s="31"/>
      <c r="N105" s="536"/>
    </row>
    <row r="106" spans="1:14" s="370" customFormat="1">
      <c r="C106" s="717"/>
    </row>
    <row r="107" spans="1:14" s="370" customFormat="1">
      <c r="C107" s="717"/>
    </row>
    <row r="108" spans="1:14" s="370" customFormat="1">
      <c r="C108" s="717"/>
    </row>
    <row r="109" spans="1:14" s="370" customFormat="1">
      <c r="C109" s="717"/>
    </row>
    <row r="110" spans="1:14" s="370" customFormat="1">
      <c r="C110" s="717"/>
    </row>
    <row r="111" spans="1:14" s="370" customFormat="1">
      <c r="C111" s="717"/>
    </row>
    <row r="112" spans="1:14" s="370" customFormat="1">
      <c r="C112" s="717"/>
    </row>
    <row r="113" spans="3:3" s="370" customFormat="1">
      <c r="C113" s="717"/>
    </row>
    <row r="114" spans="3:3" s="370" customFormat="1">
      <c r="C114" s="717"/>
    </row>
    <row r="115" spans="3:3" s="370" customFormat="1">
      <c r="C115" s="717"/>
    </row>
    <row r="116" spans="3:3" s="370" customFormat="1">
      <c r="C116" s="717"/>
    </row>
    <row r="117" spans="3:3" s="370" customFormat="1">
      <c r="C117" s="717"/>
    </row>
    <row r="118" spans="3:3" s="370" customFormat="1">
      <c r="C118" s="717"/>
    </row>
    <row r="119" spans="3:3" s="370" customFormat="1">
      <c r="C119" s="717"/>
    </row>
    <row r="120" spans="3:3" s="370" customFormat="1">
      <c r="C120" s="717"/>
    </row>
    <row r="121" spans="3:3" s="370" customFormat="1">
      <c r="C121" s="717"/>
    </row>
    <row r="122" spans="3:3" s="370" customFormat="1">
      <c r="C122" s="717"/>
    </row>
    <row r="123" spans="3:3" s="370" customFormat="1">
      <c r="C123" s="717"/>
    </row>
    <row r="124" spans="3:3" s="370" customFormat="1">
      <c r="C124" s="717"/>
    </row>
    <row r="125" spans="3:3" s="370" customFormat="1">
      <c r="C125" s="717"/>
    </row>
    <row r="126" spans="3:3" s="370" customFormat="1">
      <c r="C126" s="717"/>
    </row>
    <row r="127" spans="3:3" s="370" customFormat="1">
      <c r="C127" s="717"/>
    </row>
    <row r="128" spans="3:3" s="370" customFormat="1">
      <c r="C128" s="717"/>
    </row>
    <row r="129" spans="3:3" s="370" customFormat="1">
      <c r="C129" s="717"/>
    </row>
    <row r="130" spans="3:3" s="370" customFormat="1">
      <c r="C130" s="717"/>
    </row>
    <row r="131" spans="3:3" s="370" customFormat="1">
      <c r="C131" s="717"/>
    </row>
    <row r="132" spans="3:3" s="370" customFormat="1">
      <c r="C132" s="717"/>
    </row>
    <row r="133" spans="3:3" s="370" customFormat="1">
      <c r="C133" s="717"/>
    </row>
    <row r="134" spans="3:3" s="370" customFormat="1">
      <c r="C134" s="717"/>
    </row>
    <row r="135" spans="3:3" s="370" customFormat="1">
      <c r="C135" s="717"/>
    </row>
    <row r="136" spans="3:3" s="370" customFormat="1">
      <c r="C136" s="717"/>
    </row>
    <row r="137" spans="3:3" s="370" customFormat="1">
      <c r="C137" s="717"/>
    </row>
    <row r="138" spans="3:3" s="370" customFormat="1">
      <c r="C138" s="717"/>
    </row>
    <row r="139" spans="3:3" s="370" customFormat="1">
      <c r="C139" s="717"/>
    </row>
    <row r="140" spans="3:3" s="370" customFormat="1">
      <c r="C140" s="717"/>
    </row>
    <row r="141" spans="3:3" s="370" customFormat="1">
      <c r="C141" s="717"/>
    </row>
    <row r="142" spans="3:3" s="370" customFormat="1">
      <c r="C142" s="717"/>
    </row>
    <row r="143" spans="3:3" s="370" customFormat="1">
      <c r="C143" s="717"/>
    </row>
    <row r="144" spans="3:3" s="370" customFormat="1">
      <c r="C144" s="717"/>
    </row>
    <row r="145" spans="3:3" s="370" customFormat="1">
      <c r="C145" s="717"/>
    </row>
    <row r="146" spans="3:3" s="370" customFormat="1">
      <c r="C146" s="717"/>
    </row>
    <row r="147" spans="3:3" s="370" customFormat="1">
      <c r="C147" s="717"/>
    </row>
    <row r="148" spans="3:3" s="370" customFormat="1">
      <c r="C148" s="717"/>
    </row>
    <row r="149" spans="3:3" s="370" customFormat="1">
      <c r="C149" s="717"/>
    </row>
    <row r="150" spans="3:3" s="370" customFormat="1">
      <c r="C150" s="717"/>
    </row>
    <row r="151" spans="3:3" s="370" customFormat="1">
      <c r="C151" s="717"/>
    </row>
    <row r="152" spans="3:3" s="370" customFormat="1">
      <c r="C152" s="717"/>
    </row>
    <row r="153" spans="3:3" s="370" customFormat="1">
      <c r="C153" s="717"/>
    </row>
    <row r="154" spans="3:3" s="370" customFormat="1">
      <c r="C154" s="717"/>
    </row>
    <row r="155" spans="3:3" s="370" customFormat="1">
      <c r="C155" s="717"/>
    </row>
    <row r="156" spans="3:3" s="370" customFormat="1">
      <c r="C156" s="717"/>
    </row>
    <row r="157" spans="3:3" s="370" customFormat="1">
      <c r="C157" s="717"/>
    </row>
    <row r="158" spans="3:3" s="370" customFormat="1">
      <c r="C158" s="717"/>
    </row>
    <row r="159" spans="3:3" s="370" customFormat="1">
      <c r="C159" s="717"/>
    </row>
    <row r="160" spans="3:3" s="370" customFormat="1">
      <c r="C160" s="717"/>
    </row>
    <row r="161" spans="3:3" s="370" customFormat="1">
      <c r="C161" s="717"/>
    </row>
    <row r="162" spans="3:3" s="370" customFormat="1">
      <c r="C162" s="717"/>
    </row>
    <row r="163" spans="3:3" s="370" customFormat="1">
      <c r="C163" s="717"/>
    </row>
    <row r="164" spans="3:3" s="370" customFormat="1">
      <c r="C164" s="717"/>
    </row>
    <row r="165" spans="3:3" s="370" customFormat="1">
      <c r="C165" s="717"/>
    </row>
    <row r="166" spans="3:3" s="370" customFormat="1">
      <c r="C166" s="717"/>
    </row>
    <row r="167" spans="3:3" s="370" customFormat="1">
      <c r="C167" s="717"/>
    </row>
    <row r="168" spans="3:3" s="370" customFormat="1">
      <c r="C168" s="717"/>
    </row>
    <row r="169" spans="3:3" s="370" customFormat="1">
      <c r="C169" s="717"/>
    </row>
    <row r="170" spans="3:3" s="370" customFormat="1">
      <c r="C170" s="717"/>
    </row>
    <row r="171" spans="3:3" s="370" customFormat="1">
      <c r="C171" s="717"/>
    </row>
    <row r="172" spans="3:3" s="370" customFormat="1">
      <c r="C172" s="717"/>
    </row>
    <row r="173" spans="3:3" s="370" customFormat="1">
      <c r="C173" s="717"/>
    </row>
    <row r="174" spans="3:3" s="370" customFormat="1">
      <c r="C174" s="717"/>
    </row>
    <row r="175" spans="3:3" s="370" customFormat="1">
      <c r="C175" s="717"/>
    </row>
    <row r="176" spans="3:3" s="370" customFormat="1">
      <c r="C176" s="717"/>
    </row>
    <row r="177" spans="3:3" s="370" customFormat="1">
      <c r="C177" s="717"/>
    </row>
    <row r="178" spans="3:3" s="370" customFormat="1">
      <c r="C178" s="717"/>
    </row>
    <row r="179" spans="3:3" s="370" customFormat="1">
      <c r="C179" s="717"/>
    </row>
    <row r="180" spans="3:3" s="370" customFormat="1">
      <c r="C180" s="717"/>
    </row>
    <row r="181" spans="3:3" s="370" customFormat="1">
      <c r="C181" s="717"/>
    </row>
    <row r="182" spans="3:3" s="370" customFormat="1">
      <c r="C182" s="717"/>
    </row>
    <row r="183" spans="3:3" s="370" customFormat="1">
      <c r="C183" s="717"/>
    </row>
    <row r="184" spans="3:3" s="370" customFormat="1">
      <c r="C184" s="717"/>
    </row>
    <row r="185" spans="3:3" s="370" customFormat="1">
      <c r="C185" s="717"/>
    </row>
    <row r="186" spans="3:3" s="370" customFormat="1">
      <c r="C186" s="717"/>
    </row>
    <row r="187" spans="3:3" s="370" customFormat="1">
      <c r="C187" s="717"/>
    </row>
    <row r="188" spans="3:3" s="370" customFormat="1">
      <c r="C188" s="717"/>
    </row>
    <row r="189" spans="3:3" s="370" customFormat="1">
      <c r="C189" s="717"/>
    </row>
    <row r="190" spans="3:3" s="370" customFormat="1">
      <c r="C190" s="717"/>
    </row>
    <row r="191" spans="3:3" s="370" customFormat="1">
      <c r="C191" s="717"/>
    </row>
    <row r="192" spans="3:3" s="370" customFormat="1">
      <c r="C192" s="717"/>
    </row>
    <row r="193" spans="3:3" s="370" customFormat="1">
      <c r="C193" s="717"/>
    </row>
    <row r="194" spans="3:3" s="370" customFormat="1">
      <c r="C194" s="717"/>
    </row>
    <row r="195" spans="3:3" s="370" customFormat="1">
      <c r="C195" s="717"/>
    </row>
    <row r="196" spans="3:3" s="370" customFormat="1">
      <c r="C196" s="717"/>
    </row>
    <row r="197" spans="3:3" s="370" customFormat="1">
      <c r="C197" s="717"/>
    </row>
    <row r="198" spans="3:3" s="370" customFormat="1">
      <c r="C198" s="717"/>
    </row>
    <row r="199" spans="3:3" s="370" customFormat="1">
      <c r="C199" s="717"/>
    </row>
    <row r="200" spans="3:3" s="370" customFormat="1">
      <c r="C200" s="717"/>
    </row>
    <row r="201" spans="3:3" s="370" customFormat="1">
      <c r="C201" s="717"/>
    </row>
    <row r="202" spans="3:3" s="370" customFormat="1">
      <c r="C202" s="717"/>
    </row>
    <row r="203" spans="3:3" s="370" customFormat="1">
      <c r="C203" s="717"/>
    </row>
    <row r="204" spans="3:3" s="370" customFormat="1">
      <c r="C204" s="717"/>
    </row>
    <row r="205" spans="3:3" s="370" customFormat="1">
      <c r="C205" s="717"/>
    </row>
    <row r="206" spans="3:3" s="370" customFormat="1">
      <c r="C206" s="717"/>
    </row>
    <row r="207" spans="3:3" s="370" customFormat="1">
      <c r="C207" s="717"/>
    </row>
    <row r="208" spans="3:3" s="370" customFormat="1">
      <c r="C208" s="717"/>
    </row>
    <row r="209" spans="3:3" s="370" customFormat="1">
      <c r="C209" s="717"/>
    </row>
    <row r="210" spans="3:3" s="370" customFormat="1">
      <c r="C210" s="717"/>
    </row>
    <row r="211" spans="3:3" s="370" customFormat="1">
      <c r="C211" s="717"/>
    </row>
    <row r="212" spans="3:3" s="370" customFormat="1">
      <c r="C212" s="717"/>
    </row>
    <row r="213" spans="3:3" s="370" customFormat="1">
      <c r="C213" s="717"/>
    </row>
    <row r="214" spans="3:3" s="370" customFormat="1">
      <c r="C214" s="717"/>
    </row>
    <row r="215" spans="3:3" s="370" customFormat="1">
      <c r="C215" s="717"/>
    </row>
    <row r="216" spans="3:3" s="370" customFormat="1">
      <c r="C216" s="717"/>
    </row>
    <row r="217" spans="3:3" s="370" customFormat="1">
      <c r="C217" s="717"/>
    </row>
    <row r="218" spans="3:3" s="370" customFormat="1">
      <c r="C218" s="717"/>
    </row>
    <row r="219" spans="3:3" s="370" customFormat="1">
      <c r="C219" s="717"/>
    </row>
    <row r="220" spans="3:3" s="370" customFormat="1">
      <c r="C220" s="717"/>
    </row>
    <row r="221" spans="3:3" s="370" customFormat="1">
      <c r="C221" s="717"/>
    </row>
    <row r="222" spans="3:3" s="370" customFormat="1">
      <c r="C222" s="717"/>
    </row>
    <row r="223" spans="3:3" s="370" customFormat="1">
      <c r="C223" s="717"/>
    </row>
    <row r="224" spans="3:3" s="370" customFormat="1">
      <c r="C224" s="717"/>
    </row>
    <row r="225" spans="3:3" s="370" customFormat="1">
      <c r="C225" s="717"/>
    </row>
    <row r="226" spans="3:3" s="370" customFormat="1">
      <c r="C226" s="717"/>
    </row>
    <row r="227" spans="3:3" s="370" customFormat="1">
      <c r="C227" s="717"/>
    </row>
    <row r="228" spans="3:3" s="370" customFormat="1">
      <c r="C228" s="717"/>
    </row>
    <row r="229" spans="3:3" s="370" customFormat="1">
      <c r="C229" s="717"/>
    </row>
    <row r="230" spans="3:3" s="370" customFormat="1">
      <c r="C230" s="717"/>
    </row>
    <row r="231" spans="3:3" s="370" customFormat="1">
      <c r="C231" s="717"/>
    </row>
    <row r="232" spans="3:3" s="370" customFormat="1">
      <c r="C232" s="717"/>
    </row>
    <row r="233" spans="3:3" s="370" customFormat="1">
      <c r="C233" s="717"/>
    </row>
    <row r="234" spans="3:3" s="370" customFormat="1">
      <c r="C234" s="717"/>
    </row>
    <row r="235" spans="3:3" s="370" customFormat="1">
      <c r="C235" s="717"/>
    </row>
    <row r="236" spans="3:3" s="370" customFormat="1">
      <c r="C236" s="717"/>
    </row>
    <row r="237" spans="3:3" s="370" customFormat="1">
      <c r="C237" s="717"/>
    </row>
    <row r="238" spans="3:3" s="370" customFormat="1">
      <c r="C238" s="717"/>
    </row>
    <row r="239" spans="3:3" s="370" customFormat="1">
      <c r="C239" s="717"/>
    </row>
    <row r="240" spans="3:3" s="370" customFormat="1">
      <c r="C240" s="717"/>
    </row>
    <row r="241" spans="3:3" s="370" customFormat="1">
      <c r="C241" s="717"/>
    </row>
    <row r="242" spans="3:3" s="370" customFormat="1">
      <c r="C242" s="717"/>
    </row>
    <row r="243" spans="3:3" s="370" customFormat="1">
      <c r="C243" s="717"/>
    </row>
    <row r="244" spans="3:3" s="370" customFormat="1">
      <c r="C244" s="717"/>
    </row>
    <row r="245" spans="3:3" s="370" customFormat="1">
      <c r="C245" s="717"/>
    </row>
  </sheetData>
  <mergeCells count="21">
    <mergeCell ref="A103:F103"/>
    <mergeCell ref="A94:F94"/>
    <mergeCell ref="A98:F98"/>
    <mergeCell ref="A99:F99"/>
    <mergeCell ref="A100:F100"/>
    <mergeCell ref="A102:F102"/>
    <mergeCell ref="A87:F87"/>
    <mergeCell ref="A89:F89"/>
    <mergeCell ref="A90:F90"/>
    <mergeCell ref="A91:F91"/>
    <mergeCell ref="A93:E93"/>
    <mergeCell ref="A75:F75"/>
    <mergeCell ref="A76:F76"/>
    <mergeCell ref="A77:B77"/>
    <mergeCell ref="A83:F83"/>
    <mergeCell ref="A84:F84"/>
    <mergeCell ref="A50:D50"/>
    <mergeCell ref="A51:D51"/>
    <mergeCell ref="A1:N1"/>
    <mergeCell ref="A48:E48"/>
    <mergeCell ref="A49:D49"/>
  </mergeCells>
  <printOptions horizontalCentered="1"/>
  <pageMargins left="0.2" right="0.2" top="0.75" bottom="0.75" header="0.3" footer="0.3"/>
  <pageSetup scale="70" fitToHeight="0" orientation="landscape" r:id="rId1"/>
  <headerFooter>
    <oddHeader xml:space="preserve">&amp;CDRAFT NOT FOR DISTRIBUTION, INTERNAL USE ONLY
</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pageSetUpPr fitToPage="1"/>
  </sheetPr>
  <dimension ref="A1:N105"/>
  <sheetViews>
    <sheetView zoomScaleNormal="100" workbookViewId="0">
      <selection sqref="A1:N1"/>
    </sheetView>
  </sheetViews>
  <sheetFormatPr defaultRowHeight="14.5"/>
  <cols>
    <col min="1" max="1" width="50.453125" customWidth="1"/>
    <col min="2" max="2" width="16" customWidth="1"/>
    <col min="3" max="3" width="7.7265625" style="30" customWidth="1"/>
    <col min="4" max="4" width="15.7265625" customWidth="1"/>
    <col min="5" max="5" width="10.7265625" customWidth="1"/>
    <col min="6" max="6" width="11" customWidth="1"/>
    <col min="7" max="7" width="9.54296875" customWidth="1"/>
    <col min="8" max="8" width="8.453125" customWidth="1"/>
    <col min="9" max="9" width="7.1796875" customWidth="1"/>
    <col min="10" max="10" width="8.453125" bestFit="1" customWidth="1"/>
    <col min="11" max="11" width="7.7265625" customWidth="1"/>
    <col min="12" max="12" width="9.7265625" customWidth="1"/>
    <col min="13" max="13" width="9.1796875" customWidth="1"/>
    <col min="14" max="14" width="30.26953125" customWidth="1"/>
  </cols>
  <sheetData>
    <row r="1" spans="1:14" ht="15.5">
      <c r="A1" s="854" t="s">
        <v>412</v>
      </c>
      <c r="B1" s="854"/>
      <c r="C1" s="854"/>
      <c r="D1" s="854"/>
      <c r="E1" s="854"/>
      <c r="F1" s="854"/>
      <c r="G1" s="854"/>
      <c r="H1" s="854"/>
      <c r="I1" s="854"/>
      <c r="J1" s="854"/>
      <c r="K1" s="854"/>
      <c r="L1" s="854"/>
      <c r="M1" s="854"/>
      <c r="N1" s="854"/>
    </row>
    <row r="2" spans="1:14">
      <c r="A2" s="702" t="s">
        <v>922</v>
      </c>
      <c r="B2" s="370"/>
      <c r="C2" s="639"/>
      <c r="D2" s="370"/>
      <c r="E2" s="370"/>
      <c r="F2" s="370"/>
      <c r="G2" s="370"/>
      <c r="H2" s="370"/>
      <c r="I2" s="370"/>
      <c r="J2" s="370"/>
      <c r="K2" s="370"/>
      <c r="L2" s="370"/>
      <c r="M2" s="370"/>
      <c r="N2" s="370"/>
    </row>
    <row r="3" spans="1:14">
      <c r="A3" s="506" t="s">
        <v>810</v>
      </c>
      <c r="B3" s="370"/>
      <c r="C3" s="639"/>
      <c r="D3" s="370"/>
      <c r="E3" s="451" t="s">
        <v>210</v>
      </c>
      <c r="F3" s="370"/>
      <c r="G3" s="370"/>
      <c r="H3" s="370"/>
      <c r="I3" s="370"/>
      <c r="J3" s="370"/>
      <c r="K3" s="370"/>
      <c r="L3" s="370"/>
      <c r="M3" s="370"/>
      <c r="N3" s="370"/>
    </row>
    <row r="4" spans="1:14">
      <c r="A4" s="506" t="s">
        <v>811</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30.25" customHeight="1">
      <c r="A7" s="36" t="s">
        <v>217</v>
      </c>
      <c r="B7" s="36"/>
      <c r="C7" s="37" t="s">
        <v>218</v>
      </c>
      <c r="D7" s="38"/>
      <c r="E7" s="258">
        <v>0</v>
      </c>
      <c r="F7" s="303">
        <v>0</v>
      </c>
      <c r="G7" s="304">
        <v>0</v>
      </c>
      <c r="H7" s="304"/>
      <c r="I7" s="304">
        <v>0</v>
      </c>
      <c r="J7" s="304">
        <v>0</v>
      </c>
      <c r="K7" s="304">
        <v>0</v>
      </c>
      <c r="L7" s="304">
        <v>0</v>
      </c>
      <c r="M7" s="305">
        <v>0</v>
      </c>
      <c r="N7" s="348"/>
    </row>
    <row r="8" spans="1:14" ht="15" customHeight="1">
      <c r="A8" s="36" t="s">
        <v>217</v>
      </c>
      <c r="B8" s="36"/>
      <c r="C8" s="37" t="s">
        <v>218</v>
      </c>
      <c r="D8" s="39"/>
      <c r="E8" s="258"/>
      <c r="F8" s="303"/>
      <c r="G8" s="304">
        <v>0</v>
      </c>
      <c r="H8" s="304"/>
      <c r="I8" s="304">
        <v>0</v>
      </c>
      <c r="J8" s="304">
        <v>0</v>
      </c>
      <c r="K8" s="304">
        <v>0</v>
      </c>
      <c r="L8" s="304">
        <v>0</v>
      </c>
      <c r="M8" s="305">
        <v>0</v>
      </c>
      <c r="N8" s="348"/>
    </row>
    <row r="9" spans="1:14">
      <c r="A9" s="36" t="s">
        <v>217</v>
      </c>
      <c r="B9" s="259"/>
      <c r="C9" s="37" t="s">
        <v>218</v>
      </c>
      <c r="D9" s="39"/>
      <c r="E9" s="258"/>
      <c r="F9" s="303"/>
      <c r="G9" s="304">
        <v>0</v>
      </c>
      <c r="H9" s="304"/>
      <c r="I9" s="304">
        <v>0</v>
      </c>
      <c r="J9" s="304">
        <v>0</v>
      </c>
      <c r="K9" s="304">
        <v>0</v>
      </c>
      <c r="L9" s="304">
        <v>0</v>
      </c>
      <c r="M9" s="305">
        <v>0</v>
      </c>
      <c r="N9" s="348"/>
    </row>
    <row r="10" spans="1:14" ht="15" customHeight="1">
      <c r="A10" s="36" t="s">
        <v>217</v>
      </c>
      <c r="B10" s="259"/>
      <c r="C10" s="37" t="s">
        <v>218</v>
      </c>
      <c r="D10" s="39"/>
      <c r="E10" s="258"/>
      <c r="F10" s="303"/>
      <c r="G10" s="304">
        <v>0</v>
      </c>
      <c r="H10" s="304"/>
      <c r="I10" s="304">
        <v>0</v>
      </c>
      <c r="J10" s="304">
        <v>0</v>
      </c>
      <c r="K10" s="304">
        <v>0</v>
      </c>
      <c r="L10" s="304">
        <v>0</v>
      </c>
      <c r="M10" s="305">
        <v>0</v>
      </c>
      <c r="N10" s="348"/>
    </row>
    <row r="11" spans="1:14" ht="15" customHeight="1">
      <c r="A11" s="36" t="s">
        <v>217</v>
      </c>
      <c r="B11" s="36"/>
      <c r="C11" s="37" t="s">
        <v>218</v>
      </c>
      <c r="D11" s="39"/>
      <c r="E11" s="258">
        <v>0</v>
      </c>
      <c r="F11" s="303">
        <f>SUM(G11:M11)</f>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SUM(G12:M12)</f>
        <v>0</v>
      </c>
      <c r="G12" s="304">
        <v>0</v>
      </c>
      <c r="H12" s="304">
        <v>0</v>
      </c>
      <c r="I12" s="304">
        <v>0</v>
      </c>
      <c r="J12" s="304">
        <v>0</v>
      </c>
      <c r="K12" s="304">
        <v>0</v>
      </c>
      <c r="L12" s="304">
        <v>0</v>
      </c>
      <c r="M12" s="305">
        <v>0</v>
      </c>
      <c r="N12" s="348"/>
    </row>
    <row r="13" spans="1:14">
      <c r="A13" s="36" t="s">
        <v>217</v>
      </c>
      <c r="B13" s="259"/>
      <c r="C13" s="37" t="s">
        <v>218</v>
      </c>
      <c r="D13" s="39"/>
      <c r="E13" s="258">
        <v>0</v>
      </c>
      <c r="F13" s="303">
        <f>SUM(G13:M13)</f>
        <v>0</v>
      </c>
      <c r="G13" s="304">
        <v>0</v>
      </c>
      <c r="H13" s="304">
        <v>0</v>
      </c>
      <c r="I13" s="304">
        <v>0</v>
      </c>
      <c r="J13" s="304">
        <v>0</v>
      </c>
      <c r="K13" s="304">
        <v>0</v>
      </c>
      <c r="L13" s="304">
        <v>0</v>
      </c>
      <c r="M13" s="305">
        <v>0</v>
      </c>
      <c r="N13" s="348"/>
    </row>
    <row r="14" spans="1:14">
      <c r="A14" s="36" t="s">
        <v>217</v>
      </c>
      <c r="B14" s="259"/>
      <c r="C14" s="37" t="s">
        <v>218</v>
      </c>
      <c r="D14" s="39"/>
      <c r="E14" s="258">
        <v>0</v>
      </c>
      <c r="F14" s="303">
        <f>SUM(G14:M14)</f>
        <v>0</v>
      </c>
      <c r="G14" s="304">
        <v>0</v>
      </c>
      <c r="H14" s="304">
        <v>0</v>
      </c>
      <c r="I14" s="304">
        <v>0</v>
      </c>
      <c r="J14" s="304">
        <v>0</v>
      </c>
      <c r="K14" s="304">
        <v>0</v>
      </c>
      <c r="L14" s="304">
        <v>0</v>
      </c>
      <c r="M14" s="305">
        <v>0</v>
      </c>
      <c r="N14" s="348"/>
    </row>
    <row r="15" spans="1:14">
      <c r="A15" s="36" t="s">
        <v>217</v>
      </c>
      <c r="B15" s="260"/>
      <c r="C15" s="37" t="s">
        <v>218</v>
      </c>
      <c r="D15" s="39"/>
      <c r="E15" s="258">
        <v>0</v>
      </c>
      <c r="F15" s="303">
        <f>SUM(G15:M15)</f>
        <v>0</v>
      </c>
      <c r="G15" s="304">
        <v>0</v>
      </c>
      <c r="H15" s="304">
        <v>0</v>
      </c>
      <c r="I15" s="304">
        <v>0</v>
      </c>
      <c r="J15" s="304">
        <v>0</v>
      </c>
      <c r="K15" s="304">
        <v>0</v>
      </c>
      <c r="L15" s="304">
        <v>0</v>
      </c>
      <c r="M15" s="305">
        <v>0</v>
      </c>
      <c r="N15" s="348"/>
    </row>
    <row r="16" spans="1:14">
      <c r="A16" s="40" t="s">
        <v>219</v>
      </c>
      <c r="B16" s="260"/>
      <c r="C16" s="261"/>
      <c r="D16" s="41">
        <f t="shared" ref="D16:M16" si="0">SUM(D7:D15)</f>
        <v>0</v>
      </c>
      <c r="E16" s="42">
        <f t="shared" si="0"/>
        <v>0</v>
      </c>
      <c r="F16" s="43">
        <f t="shared" si="0"/>
        <v>0</v>
      </c>
      <c r="G16" s="43">
        <f t="shared" si="0"/>
        <v>0</v>
      </c>
      <c r="H16" s="43">
        <f t="shared" si="0"/>
        <v>0</v>
      </c>
      <c r="I16" s="43">
        <f t="shared" si="0"/>
        <v>0</v>
      </c>
      <c r="J16" s="43">
        <f t="shared" si="0"/>
        <v>0</v>
      </c>
      <c r="K16" s="43">
        <f t="shared" si="0"/>
        <v>0</v>
      </c>
      <c r="L16" s="43">
        <f t="shared" si="0"/>
        <v>0</v>
      </c>
      <c r="M16" s="43">
        <f t="shared" si="0"/>
        <v>0</v>
      </c>
      <c r="N16" s="249"/>
    </row>
    <row r="17" spans="1:14">
      <c r="A17" s="67" t="s">
        <v>220</v>
      </c>
      <c r="B17" s="68"/>
      <c r="C17" s="69"/>
      <c r="D17" s="68"/>
      <c r="E17" s="68"/>
      <c r="F17" s="70"/>
      <c r="G17" s="70"/>
      <c r="H17" s="70"/>
      <c r="I17" s="70"/>
      <c r="J17" s="70"/>
      <c r="K17" s="70"/>
      <c r="L17" s="70"/>
      <c r="M17" s="70"/>
      <c r="N17" s="70"/>
    </row>
    <row r="18" spans="1:14">
      <c r="A18" s="259" t="s">
        <v>278</v>
      </c>
      <c r="B18" s="259"/>
      <c r="C18" s="44">
        <v>253</v>
      </c>
      <c r="D18" s="45"/>
      <c r="E18" s="258">
        <v>0</v>
      </c>
      <c r="F18" s="350">
        <v>0</v>
      </c>
      <c r="G18" s="304">
        <v>0</v>
      </c>
      <c r="H18" s="304">
        <v>0</v>
      </c>
      <c r="I18" s="304">
        <v>0</v>
      </c>
      <c r="J18" s="304">
        <v>0</v>
      </c>
      <c r="K18" s="304">
        <v>0</v>
      </c>
      <c r="L18" s="304">
        <v>0</v>
      </c>
      <c r="M18" s="305">
        <v>0</v>
      </c>
      <c r="N18" s="320"/>
    </row>
    <row r="19" spans="1:14">
      <c r="A19" s="259" t="s">
        <v>278</v>
      </c>
      <c r="B19" s="259"/>
      <c r="C19" s="44">
        <v>253</v>
      </c>
      <c r="D19" s="45"/>
      <c r="E19" s="258">
        <v>0</v>
      </c>
      <c r="F19" s="350">
        <v>0</v>
      </c>
      <c r="G19" s="304">
        <v>0</v>
      </c>
      <c r="H19" s="304">
        <v>0</v>
      </c>
      <c r="I19" s="304">
        <v>0</v>
      </c>
      <c r="J19" s="304">
        <v>0</v>
      </c>
      <c r="K19" s="304">
        <v>0</v>
      </c>
      <c r="L19" s="304">
        <v>0</v>
      </c>
      <c r="M19" s="305">
        <v>0</v>
      </c>
      <c r="N19" s="319"/>
    </row>
    <row r="20" spans="1:14">
      <c r="A20" s="259" t="s">
        <v>278</v>
      </c>
      <c r="B20" s="259"/>
      <c r="C20" s="44">
        <v>253</v>
      </c>
      <c r="D20" s="262"/>
      <c r="E20" s="258">
        <v>0</v>
      </c>
      <c r="F20" s="350">
        <v>0</v>
      </c>
      <c r="G20" s="304">
        <v>0</v>
      </c>
      <c r="H20" s="304">
        <v>0</v>
      </c>
      <c r="I20" s="304">
        <v>0</v>
      </c>
      <c r="J20" s="304">
        <v>0</v>
      </c>
      <c r="K20" s="304">
        <v>0</v>
      </c>
      <c r="L20" s="304">
        <v>0</v>
      </c>
      <c r="M20" s="305">
        <v>0</v>
      </c>
      <c r="N20" s="348"/>
    </row>
    <row r="21" spans="1:14" s="7" customFormat="1">
      <c r="A21" s="259" t="s">
        <v>278</v>
      </c>
      <c r="B21" s="259"/>
      <c r="C21" s="44">
        <v>253</v>
      </c>
      <c r="D21" s="262"/>
      <c r="E21" s="258">
        <v>0</v>
      </c>
      <c r="F21" s="350">
        <v>0</v>
      </c>
      <c r="G21" s="304">
        <v>0</v>
      </c>
      <c r="H21" s="304">
        <v>0</v>
      </c>
      <c r="I21" s="304">
        <v>0</v>
      </c>
      <c r="J21" s="304">
        <v>0</v>
      </c>
      <c r="K21" s="304">
        <v>0</v>
      </c>
      <c r="L21" s="304">
        <v>0</v>
      </c>
      <c r="M21" s="305">
        <v>0</v>
      </c>
      <c r="N21" s="319"/>
    </row>
    <row r="22" spans="1:14">
      <c r="A22" s="40" t="s">
        <v>225</v>
      </c>
      <c r="B22" s="260"/>
      <c r="C22" s="261"/>
      <c r="D22" s="262">
        <f>SUM(D18:D21)</f>
        <v>0</v>
      </c>
      <c r="E22" s="42">
        <f>SUM(E18:E21)</f>
        <v>0</v>
      </c>
      <c r="F22" s="43">
        <f>SUM(F18:F21)</f>
        <v>0</v>
      </c>
      <c r="G22" s="43">
        <f t="shared" ref="G22:M22" si="1">SUM(G18:G21)</f>
        <v>0</v>
      </c>
      <c r="H22" s="43">
        <f t="shared" si="1"/>
        <v>0</v>
      </c>
      <c r="I22" s="43">
        <f t="shared" si="1"/>
        <v>0</v>
      </c>
      <c r="J22" s="43">
        <f t="shared" si="1"/>
        <v>0</v>
      </c>
      <c r="K22" s="43">
        <f t="shared" si="1"/>
        <v>0</v>
      </c>
      <c r="L22" s="43">
        <f t="shared" si="1"/>
        <v>0</v>
      </c>
      <c r="M22" s="43">
        <f t="shared" si="1"/>
        <v>0</v>
      </c>
      <c r="N22" s="348"/>
    </row>
    <row r="23" spans="1:14" s="7"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c r="F24" s="303"/>
      <c r="G24" s="304">
        <v>0</v>
      </c>
      <c r="H24" s="304">
        <v>0</v>
      </c>
      <c r="I24" s="304">
        <v>0</v>
      </c>
      <c r="J24" s="304">
        <v>0</v>
      </c>
      <c r="K24" s="304">
        <v>0</v>
      </c>
      <c r="L24" s="304">
        <v>0</v>
      </c>
      <c r="M24" s="305">
        <v>0</v>
      </c>
      <c r="N24" s="318"/>
    </row>
    <row r="25" spans="1:14">
      <c r="A25" s="259" t="s">
        <v>229</v>
      </c>
      <c r="B25" s="36"/>
      <c r="C25" s="44" t="s">
        <v>230</v>
      </c>
      <c r="D25" s="45"/>
      <c r="E25" s="258"/>
      <c r="F25" s="303"/>
      <c r="G25" s="304">
        <v>0</v>
      </c>
      <c r="H25" s="304">
        <v>0</v>
      </c>
      <c r="I25" s="304">
        <v>0</v>
      </c>
      <c r="J25" s="304">
        <v>0</v>
      </c>
      <c r="K25" s="304">
        <v>0</v>
      </c>
      <c r="L25" s="304">
        <v>0</v>
      </c>
      <c r="M25" s="305">
        <v>0</v>
      </c>
      <c r="N25" s="348"/>
    </row>
    <row r="26" spans="1:14">
      <c r="A26" s="259" t="s">
        <v>231</v>
      </c>
      <c r="B26" s="36"/>
      <c r="C26" s="44" t="s">
        <v>232</v>
      </c>
      <c r="D26" s="45"/>
      <c r="E26" s="258"/>
      <c r="F26" s="303"/>
      <c r="G26" s="304">
        <v>0</v>
      </c>
      <c r="H26" s="304">
        <v>0</v>
      </c>
      <c r="I26" s="304">
        <v>0</v>
      </c>
      <c r="J26" s="304">
        <v>0</v>
      </c>
      <c r="K26" s="304">
        <v>0</v>
      </c>
      <c r="L26" s="304">
        <v>0</v>
      </c>
      <c r="M26" s="305">
        <v>0</v>
      </c>
      <c r="N26" s="348"/>
    </row>
    <row r="27" spans="1:14">
      <c r="A27" s="259" t="s">
        <v>233</v>
      </c>
      <c r="B27" s="36"/>
      <c r="C27" s="44" t="s">
        <v>234</v>
      </c>
      <c r="D27" s="45"/>
      <c r="E27" s="258"/>
      <c r="F27" s="303"/>
      <c r="G27" s="304">
        <v>0</v>
      </c>
      <c r="H27" s="304">
        <v>0</v>
      </c>
      <c r="I27" s="304">
        <v>0</v>
      </c>
      <c r="J27" s="304">
        <v>0</v>
      </c>
      <c r="K27" s="304">
        <v>0</v>
      </c>
      <c r="L27" s="304">
        <v>0</v>
      </c>
      <c r="M27" s="305">
        <v>0</v>
      </c>
      <c r="N27" s="348"/>
    </row>
    <row r="28" spans="1:14" s="314" customFormat="1" ht="29">
      <c r="A28" s="71" t="s">
        <v>413</v>
      </c>
      <c r="B28" s="36"/>
      <c r="C28" s="44">
        <v>252</v>
      </c>
      <c r="D28" s="45"/>
      <c r="E28" s="258">
        <v>1140</v>
      </c>
      <c r="F28" s="303">
        <f>SUM(G28:M28)</f>
        <v>845</v>
      </c>
      <c r="G28" s="304">
        <v>0</v>
      </c>
      <c r="H28" s="304">
        <v>845</v>
      </c>
      <c r="I28" s="304">
        <v>0</v>
      </c>
      <c r="J28" s="304">
        <v>0</v>
      </c>
      <c r="K28" s="304">
        <v>0</v>
      </c>
      <c r="L28" s="304">
        <v>0</v>
      </c>
      <c r="M28" s="305">
        <v>0</v>
      </c>
      <c r="N28" s="320" t="s">
        <v>414</v>
      </c>
    </row>
    <row r="29" spans="1:14" ht="58">
      <c r="A29" s="259" t="s">
        <v>415</v>
      </c>
      <c r="B29" s="36"/>
      <c r="C29" s="44">
        <v>252</v>
      </c>
      <c r="D29" s="45"/>
      <c r="E29" s="258">
        <v>3017</v>
      </c>
      <c r="F29" s="303">
        <f>SUM(G29:M29)</f>
        <v>2857</v>
      </c>
      <c r="G29" s="304">
        <v>0</v>
      </c>
      <c r="H29" s="304">
        <v>2857</v>
      </c>
      <c r="I29" s="304">
        <v>0</v>
      </c>
      <c r="J29" s="304">
        <v>0</v>
      </c>
      <c r="K29" s="304">
        <v>0</v>
      </c>
      <c r="L29" s="304">
        <v>0</v>
      </c>
      <c r="M29" s="305">
        <v>0</v>
      </c>
      <c r="N29" s="318" t="s">
        <v>416</v>
      </c>
    </row>
    <row r="30" spans="1:14">
      <c r="A30" s="259" t="s">
        <v>243</v>
      </c>
      <c r="B30" s="36"/>
      <c r="C30" s="44">
        <v>252</v>
      </c>
      <c r="D30" s="45"/>
      <c r="E30" s="258"/>
      <c r="F30" s="303"/>
      <c r="G30" s="304">
        <v>0</v>
      </c>
      <c r="H30" s="304">
        <v>0</v>
      </c>
      <c r="I30" s="304">
        <v>0</v>
      </c>
      <c r="J30" s="304">
        <v>0</v>
      </c>
      <c r="K30" s="304">
        <v>0</v>
      </c>
      <c r="L30" s="304">
        <v>0</v>
      </c>
      <c r="M30" s="305">
        <v>0</v>
      </c>
      <c r="N30" s="348"/>
    </row>
    <row r="31" spans="1:14">
      <c r="A31" s="259" t="s">
        <v>244</v>
      </c>
      <c r="B31" s="36"/>
      <c r="C31" s="44">
        <v>253</v>
      </c>
      <c r="D31" s="259"/>
      <c r="E31" s="258"/>
      <c r="F31" s="303"/>
      <c r="G31" s="304">
        <v>0</v>
      </c>
      <c r="H31" s="304">
        <v>0</v>
      </c>
      <c r="I31" s="304">
        <v>0</v>
      </c>
      <c r="J31" s="304">
        <v>0</v>
      </c>
      <c r="K31" s="304">
        <v>0</v>
      </c>
      <c r="L31" s="304">
        <v>0</v>
      </c>
      <c r="M31" s="305">
        <v>0</v>
      </c>
      <c r="N31" s="348"/>
    </row>
    <row r="32" spans="1:14">
      <c r="A32" s="259" t="s">
        <v>245</v>
      </c>
      <c r="B32" s="36"/>
      <c r="C32" s="44">
        <v>255</v>
      </c>
      <c r="D32" s="259"/>
      <c r="E32" s="258"/>
      <c r="F32" s="303"/>
      <c r="G32" s="304">
        <v>0</v>
      </c>
      <c r="H32" s="304">
        <v>0</v>
      </c>
      <c r="I32" s="304">
        <v>0</v>
      </c>
      <c r="J32" s="304">
        <v>0</v>
      </c>
      <c r="K32" s="304">
        <v>0</v>
      </c>
      <c r="L32" s="304">
        <v>0</v>
      </c>
      <c r="M32" s="305">
        <v>0</v>
      </c>
      <c r="N32" s="348"/>
    </row>
    <row r="33" spans="1:14">
      <c r="A33" s="259" t="s">
        <v>246</v>
      </c>
      <c r="B33" s="36"/>
      <c r="C33" s="44">
        <v>256</v>
      </c>
      <c r="D33" s="259"/>
      <c r="E33" s="258"/>
      <c r="F33" s="303"/>
      <c r="G33" s="304">
        <v>0</v>
      </c>
      <c r="H33" s="304">
        <v>0</v>
      </c>
      <c r="I33" s="304">
        <v>0</v>
      </c>
      <c r="J33" s="304">
        <v>0</v>
      </c>
      <c r="K33" s="304">
        <v>0</v>
      </c>
      <c r="L33" s="304">
        <v>0</v>
      </c>
      <c r="M33" s="305">
        <v>0</v>
      </c>
      <c r="N33" s="348"/>
    </row>
    <row r="34" spans="1:14">
      <c r="A34" s="90" t="s">
        <v>247</v>
      </c>
      <c r="B34" s="36"/>
      <c r="C34" s="44">
        <v>257</v>
      </c>
      <c r="D34" s="259"/>
      <c r="E34" s="258"/>
      <c r="F34" s="303"/>
      <c r="G34" s="304">
        <v>0</v>
      </c>
      <c r="H34" s="304"/>
      <c r="I34" s="304">
        <v>0</v>
      </c>
      <c r="J34" s="304">
        <v>0</v>
      </c>
      <c r="K34" s="304">
        <v>0</v>
      </c>
      <c r="L34" s="304">
        <v>0</v>
      </c>
      <c r="M34" s="305">
        <v>0</v>
      </c>
      <c r="N34" s="348"/>
    </row>
    <row r="35" spans="1:14">
      <c r="A35" s="259" t="s">
        <v>248</v>
      </c>
      <c r="B35" s="36"/>
      <c r="C35" s="44" t="s">
        <v>249</v>
      </c>
      <c r="D35" s="259"/>
      <c r="E35" s="258"/>
      <c r="F35" s="303"/>
      <c r="G35" s="304">
        <v>0</v>
      </c>
      <c r="H35" s="304">
        <v>0</v>
      </c>
      <c r="I35" s="304">
        <v>0</v>
      </c>
      <c r="J35" s="304">
        <v>0</v>
      </c>
      <c r="K35" s="304">
        <v>0</v>
      </c>
      <c r="L35" s="304">
        <v>0</v>
      </c>
      <c r="M35" s="305">
        <v>0</v>
      </c>
      <c r="N35" s="348"/>
    </row>
    <row r="36" spans="1:14" s="370" customFormat="1">
      <c r="A36" s="260" t="s">
        <v>250</v>
      </c>
      <c r="B36" s="36"/>
      <c r="C36" s="261" t="s">
        <v>251</v>
      </c>
      <c r="D36" s="260"/>
      <c r="E36" s="258"/>
      <c r="F36" s="303"/>
      <c r="G36" s="304">
        <v>0</v>
      </c>
      <c r="H36" s="304">
        <v>0</v>
      </c>
      <c r="I36" s="304">
        <v>0</v>
      </c>
      <c r="J36" s="304">
        <v>0</v>
      </c>
      <c r="K36" s="304">
        <v>0</v>
      </c>
      <c r="L36" s="304">
        <v>0</v>
      </c>
      <c r="M36" s="305">
        <v>0</v>
      </c>
      <c r="N36" s="348"/>
    </row>
    <row r="37" spans="1:14">
      <c r="A37" s="260" t="s">
        <v>252</v>
      </c>
      <c r="B37" s="36"/>
      <c r="C37" s="44">
        <v>252</v>
      </c>
      <c r="D37" s="260"/>
      <c r="E37" s="258">
        <v>0</v>
      </c>
      <c r="F37" s="303">
        <v>0</v>
      </c>
      <c r="G37" s="304">
        <v>0</v>
      </c>
      <c r="H37" s="304">
        <v>0</v>
      </c>
      <c r="I37" s="304">
        <v>0</v>
      </c>
      <c r="J37" s="304">
        <v>0</v>
      </c>
      <c r="K37" s="304">
        <v>0</v>
      </c>
      <c r="L37" s="304">
        <v>0</v>
      </c>
      <c r="M37" s="305">
        <v>0</v>
      </c>
      <c r="N37" s="318"/>
    </row>
    <row r="38" spans="1:14">
      <c r="A38" s="40" t="s">
        <v>254</v>
      </c>
      <c r="B38" s="260"/>
      <c r="C38" s="261"/>
      <c r="D38" s="262"/>
      <c r="E38" s="42">
        <f>SUM(E29:E37)</f>
        <v>3017</v>
      </c>
      <c r="F38" s="43">
        <f t="shared" ref="F38:M38" si="2">SUM(F24:F27,F29:F37)</f>
        <v>2857</v>
      </c>
      <c r="G38" s="43">
        <f t="shared" si="2"/>
        <v>0</v>
      </c>
      <c r="H38" s="43">
        <f t="shared" si="2"/>
        <v>2857</v>
      </c>
      <c r="I38" s="43">
        <f t="shared" si="2"/>
        <v>0</v>
      </c>
      <c r="J38" s="43">
        <f t="shared" si="2"/>
        <v>0</v>
      </c>
      <c r="K38" s="43">
        <f t="shared" si="2"/>
        <v>0</v>
      </c>
      <c r="L38" s="43">
        <f t="shared" si="2"/>
        <v>0</v>
      </c>
      <c r="M38" s="43">
        <f t="shared" si="2"/>
        <v>0</v>
      </c>
      <c r="N38" s="348"/>
    </row>
    <row r="39" spans="1:14" s="149" customFormat="1">
      <c r="A39" s="40" t="s">
        <v>255</v>
      </c>
      <c r="B39" s="51"/>
      <c r="C39" s="147"/>
      <c r="D39" s="262"/>
      <c r="E39" s="236">
        <v>0</v>
      </c>
      <c r="F39" s="235">
        <f>SUM(G39:L39)</f>
        <v>880</v>
      </c>
      <c r="G39" s="235"/>
      <c r="H39" s="235">
        <v>880</v>
      </c>
      <c r="I39" s="235"/>
      <c r="J39" s="235"/>
      <c r="K39" s="235"/>
      <c r="L39" s="235"/>
      <c r="M39" s="235"/>
      <c r="N39" s="318"/>
    </row>
    <row r="40" spans="1:14">
      <c r="A40" s="40" t="s">
        <v>256</v>
      </c>
      <c r="B40" s="46"/>
      <c r="C40" s="47"/>
      <c r="D40" s="48">
        <f>D38+D22+D16</f>
        <v>0</v>
      </c>
      <c r="E40" s="245">
        <f t="shared" ref="E40:M40" si="3">E38+E22+E16-E39</f>
        <v>3017</v>
      </c>
      <c r="F40" s="17">
        <f t="shared" si="3"/>
        <v>1977</v>
      </c>
      <c r="G40" s="17">
        <f t="shared" si="3"/>
        <v>0</v>
      </c>
      <c r="H40" s="17">
        <f t="shared" si="3"/>
        <v>1977</v>
      </c>
      <c r="I40" s="17">
        <f t="shared" si="3"/>
        <v>0</v>
      </c>
      <c r="J40" s="17">
        <f t="shared" si="3"/>
        <v>0</v>
      </c>
      <c r="K40" s="17">
        <f t="shared" si="3"/>
        <v>0</v>
      </c>
      <c r="L40" s="17">
        <f t="shared" si="3"/>
        <v>0</v>
      </c>
      <c r="M40" s="17">
        <f t="shared" si="3"/>
        <v>0</v>
      </c>
      <c r="N40" s="346"/>
    </row>
    <row r="42" spans="1:14">
      <c r="A42" s="921" t="s">
        <v>390</v>
      </c>
      <c r="B42" s="922"/>
      <c r="C42" s="922"/>
      <c r="D42" s="922"/>
      <c r="E42" s="923"/>
      <c r="F42" s="303" t="s">
        <v>391</v>
      </c>
      <c r="G42" s="304" t="s">
        <v>0</v>
      </c>
      <c r="H42" s="304" t="s">
        <v>1</v>
      </c>
      <c r="I42" s="304" t="s">
        <v>2</v>
      </c>
      <c r="J42" s="304" t="s">
        <v>3</v>
      </c>
      <c r="K42" s="304" t="s">
        <v>4</v>
      </c>
      <c r="L42" s="304" t="s">
        <v>26</v>
      </c>
      <c r="M42" s="305"/>
      <c r="N42" s="348" t="s">
        <v>215</v>
      </c>
    </row>
    <row r="43" spans="1:14">
      <c r="A43" s="924" t="s">
        <v>392</v>
      </c>
      <c r="B43" s="925"/>
      <c r="C43" s="925"/>
      <c r="D43" s="926"/>
      <c r="E43" s="89"/>
      <c r="F43" s="86"/>
      <c r="G43" s="88">
        <v>0.20660000000000001</v>
      </c>
      <c r="H43" s="88">
        <v>0.44550000000000001</v>
      </c>
      <c r="I43" s="88">
        <v>0.14019999999999999</v>
      </c>
      <c r="J43" s="88">
        <v>0.20760000000000001</v>
      </c>
      <c r="K43" s="88">
        <v>0</v>
      </c>
      <c r="L43" s="88"/>
      <c r="M43" s="86"/>
      <c r="N43" s="87"/>
    </row>
    <row r="44" spans="1:14" ht="15" thickBot="1">
      <c r="A44" s="915" t="s">
        <v>393</v>
      </c>
      <c r="B44" s="916"/>
      <c r="C44" s="916"/>
      <c r="D44" s="917"/>
      <c r="E44" s="81"/>
      <c r="F44" s="82">
        <f>F40</f>
        <v>1977</v>
      </c>
      <c r="G44" s="83">
        <f>$F44*G43</f>
        <v>408.44819999999999</v>
      </c>
      <c r="H44" s="83">
        <f t="shared" ref="H44:M44" si="4">$F44*H43</f>
        <v>880.75350000000003</v>
      </c>
      <c r="I44" s="83">
        <f t="shared" si="4"/>
        <v>277.17539999999997</v>
      </c>
      <c r="J44" s="83">
        <f t="shared" si="4"/>
        <v>410.42520000000002</v>
      </c>
      <c r="K44" s="83">
        <f t="shared" si="4"/>
        <v>0</v>
      </c>
      <c r="L44" s="83">
        <f t="shared" si="4"/>
        <v>0</v>
      </c>
      <c r="M44" s="84">
        <f t="shared" si="4"/>
        <v>0</v>
      </c>
      <c r="N44" s="418" t="s">
        <v>417</v>
      </c>
    </row>
    <row r="45" spans="1:14">
      <c r="A45" s="918" t="s">
        <v>394</v>
      </c>
      <c r="B45" s="919"/>
      <c r="C45" s="919"/>
      <c r="D45" s="920"/>
      <c r="E45" s="76"/>
      <c r="F45" s="77"/>
      <c r="G45" s="78">
        <f t="shared" ref="G45:M45" si="5">G40-G44</f>
        <v>-408.44819999999999</v>
      </c>
      <c r="H45" s="78">
        <f t="shared" si="5"/>
        <v>1096.2465</v>
      </c>
      <c r="I45" s="78">
        <f t="shared" si="5"/>
        <v>-277.17539999999997</v>
      </c>
      <c r="J45" s="78">
        <f t="shared" si="5"/>
        <v>-410.42520000000002</v>
      </c>
      <c r="K45" s="78">
        <f t="shared" si="5"/>
        <v>0</v>
      </c>
      <c r="L45" s="78">
        <f t="shared" si="5"/>
        <v>0</v>
      </c>
      <c r="M45" s="79">
        <f t="shared" si="5"/>
        <v>0</v>
      </c>
      <c r="N45" s="80"/>
    </row>
    <row r="47" spans="1:14" s="370" customFormat="1">
      <c r="C47" s="639"/>
      <c r="E47" s="482" t="s">
        <v>735</v>
      </c>
      <c r="F47" s="482" t="s">
        <v>1012</v>
      </c>
      <c r="G47" s="935" t="s">
        <v>418</v>
      </c>
      <c r="H47" s="935"/>
      <c r="I47" s="935"/>
      <c r="J47" s="935"/>
      <c r="N47" s="539"/>
    </row>
    <row r="48" spans="1:14" s="370" customFormat="1">
      <c r="B48" s="370" t="s">
        <v>419</v>
      </c>
      <c r="C48" s="639"/>
      <c r="E48" s="247">
        <f>+E29/(E28+E29)</f>
        <v>0.72576377195092612</v>
      </c>
      <c r="F48" s="247">
        <f>+F29/(F28+F29)</f>
        <v>0.77174500270124258</v>
      </c>
      <c r="G48" s="283" t="s">
        <v>420</v>
      </c>
      <c r="H48" s="257">
        <f>+H29-E29</f>
        <v>-160</v>
      </c>
      <c r="I48" s="283" t="s">
        <v>260</v>
      </c>
      <c r="J48" s="247">
        <f>(+H29-E29)/E29</f>
        <v>-5.3032814053695726E-2</v>
      </c>
      <c r="N48" s="539"/>
    </row>
    <row r="49" spans="1:14" s="370" customFormat="1">
      <c r="B49" s="370" t="s">
        <v>421</v>
      </c>
      <c r="C49" s="639"/>
      <c r="E49" s="247">
        <f>+E28/(E28+E29)</f>
        <v>0.27423622804907383</v>
      </c>
      <c r="F49" s="247">
        <f>+F28/(F28+F29)</f>
        <v>0.22825499729875742</v>
      </c>
      <c r="H49" s="257">
        <f>+H28-E28</f>
        <v>-295</v>
      </c>
      <c r="J49" s="247">
        <f>(+H28-E28)/E28</f>
        <v>-0.25877192982456143</v>
      </c>
      <c r="N49" s="539"/>
    </row>
    <row r="50" spans="1:14" s="370" customFormat="1">
      <c r="C50" s="639"/>
      <c r="N50" s="539"/>
    </row>
    <row r="51" spans="1:14" s="370" customFormat="1">
      <c r="B51" s="370" t="s">
        <v>5</v>
      </c>
      <c r="C51" s="639"/>
      <c r="E51" s="495">
        <f>SUM(E48:E50)</f>
        <v>1</v>
      </c>
      <c r="F51" s="495">
        <f>SUM(F48:F50)</f>
        <v>1</v>
      </c>
      <c r="H51" s="257">
        <f>SUM(H48:H50)</f>
        <v>-455</v>
      </c>
      <c r="J51" s="252">
        <f>AVERAGE(J48:J49)</f>
        <v>-0.15590237193912859</v>
      </c>
      <c r="N51" s="539"/>
    </row>
    <row r="52" spans="1:14" s="370" customFormat="1">
      <c r="C52" s="639"/>
      <c r="D52" s="283"/>
      <c r="N52" s="539"/>
    </row>
    <row r="53" spans="1:14" s="370" customFormat="1">
      <c r="C53" s="639"/>
      <c r="G53" s="252"/>
      <c r="H53" s="252"/>
      <c r="I53" s="252"/>
      <c r="J53" s="252"/>
      <c r="K53" s="252"/>
      <c r="N53" s="539"/>
    </row>
    <row r="54" spans="1:14" s="370" customFormat="1">
      <c r="B54" s="370" t="s">
        <v>422</v>
      </c>
      <c r="C54" s="639"/>
      <c r="F54" s="370" t="s">
        <v>1017</v>
      </c>
      <c r="G54" s="257">
        <f>+G44</f>
        <v>408.44819999999999</v>
      </c>
      <c r="H54" s="257">
        <f>+H44</f>
        <v>880.75350000000003</v>
      </c>
      <c r="I54" s="257">
        <f>+I44</f>
        <v>277.17539999999997</v>
      </c>
      <c r="J54" s="257">
        <f>+J44</f>
        <v>410.42520000000002</v>
      </c>
      <c r="K54" s="257"/>
      <c r="N54" s="539"/>
    </row>
    <row r="55" spans="1:14" s="370" customFormat="1">
      <c r="C55" s="639"/>
      <c r="F55" s="370" t="s">
        <v>735</v>
      </c>
      <c r="G55" s="257">
        <v>840.53620000000001</v>
      </c>
      <c r="H55" s="257">
        <v>1117.4968000000001</v>
      </c>
      <c r="I55" s="257">
        <v>404.27800000000002</v>
      </c>
      <c r="J55" s="257">
        <v>654.68899999999996</v>
      </c>
      <c r="K55" s="257"/>
      <c r="N55" s="539"/>
    </row>
    <row r="56" spans="1:14" s="370" customFormat="1">
      <c r="C56" s="639"/>
      <c r="N56" s="539"/>
    </row>
    <row r="57" spans="1:14" s="370" customFormat="1">
      <c r="C57" s="639"/>
      <c r="F57" s="283" t="s">
        <v>423</v>
      </c>
      <c r="G57" s="257">
        <f>(+G54-G55)-1</f>
        <v>-433.08800000000002</v>
      </c>
      <c r="H57" s="257">
        <f>(+H54-H55)+1</f>
        <v>-235.74330000000009</v>
      </c>
      <c r="I57" s="257">
        <f>(+I54-I55)+1</f>
        <v>-126.10260000000005</v>
      </c>
      <c r="J57" s="257">
        <f>+J54-J55</f>
        <v>-244.26379999999995</v>
      </c>
      <c r="N57" s="539"/>
    </row>
    <row r="58" spans="1:14" s="370" customFormat="1">
      <c r="C58" s="639"/>
      <c r="F58" s="283" t="s">
        <v>424</v>
      </c>
      <c r="G58" s="479">
        <f>+G57/G55</f>
        <v>-0.51525204982248241</v>
      </c>
      <c r="H58" s="479">
        <f>+H57/H55</f>
        <v>-0.21095657723583644</v>
      </c>
      <c r="I58" s="479">
        <f>+I57/I55</f>
        <v>-0.31192051014400995</v>
      </c>
      <c r="J58" s="479">
        <f>+J57/J55</f>
        <v>-0.3730989828758387</v>
      </c>
      <c r="N58" s="539"/>
    </row>
    <row r="60" spans="1:14" s="370" customFormat="1" ht="15" thickBot="1">
      <c r="A60" s="31"/>
      <c r="B60" s="31"/>
      <c r="C60" s="32"/>
      <c r="D60" s="31"/>
      <c r="E60" s="31"/>
      <c r="F60" s="31"/>
      <c r="G60" s="31"/>
      <c r="H60" s="31"/>
      <c r="I60" s="31"/>
      <c r="J60" s="31"/>
      <c r="K60" s="31"/>
      <c r="L60" s="31"/>
      <c r="M60" s="31"/>
      <c r="N60" s="536"/>
    </row>
    <row r="61" spans="1:14" s="370" customFormat="1" ht="15.5">
      <c r="A61" s="873" t="s">
        <v>257</v>
      </c>
      <c r="B61" s="874"/>
      <c r="C61" s="874"/>
      <c r="D61" s="874"/>
      <c r="E61" s="874"/>
      <c r="F61" s="874"/>
      <c r="G61" s="550"/>
      <c r="H61" s="31"/>
      <c r="I61" s="31"/>
      <c r="J61" s="31"/>
      <c r="K61" s="31"/>
      <c r="L61" s="31"/>
      <c r="M61" s="31"/>
      <c r="N61" s="536"/>
    </row>
    <row r="62" spans="1:14" s="370" customFormat="1" ht="15.5">
      <c r="A62" s="875"/>
      <c r="B62" s="876"/>
      <c r="C62" s="876"/>
      <c r="D62" s="876"/>
      <c r="E62" s="876"/>
      <c r="F62" s="876"/>
      <c r="G62" s="551"/>
      <c r="H62" s="31"/>
      <c r="I62" s="31"/>
      <c r="J62" s="31"/>
      <c r="K62" s="31"/>
      <c r="L62" s="31"/>
      <c r="M62" s="31"/>
      <c r="N62" s="536"/>
    </row>
    <row r="63" spans="1:14" s="370" customFormat="1">
      <c r="A63" s="877" t="s">
        <v>258</v>
      </c>
      <c r="B63" s="878"/>
      <c r="C63" s="552"/>
      <c r="D63" s="552"/>
      <c r="E63" s="552"/>
      <c r="F63" s="552"/>
      <c r="G63" s="551"/>
      <c r="H63" s="31"/>
      <c r="I63" s="31"/>
      <c r="J63" s="31"/>
      <c r="K63" s="31"/>
      <c r="L63" s="31"/>
      <c r="M63" s="31"/>
      <c r="N63" s="536"/>
    </row>
    <row r="64" spans="1:14" s="370" customFormat="1">
      <c r="A64" s="553" t="s">
        <v>1028</v>
      </c>
      <c r="B64" s="554">
        <f>E40</f>
        <v>3017</v>
      </c>
      <c r="C64" s="555"/>
      <c r="D64" s="556"/>
      <c r="E64" s="556"/>
      <c r="F64" s="556"/>
      <c r="G64" s="551"/>
      <c r="H64" s="31"/>
      <c r="I64" s="31"/>
      <c r="J64" s="31"/>
      <c r="K64" s="31"/>
      <c r="L64" s="31"/>
      <c r="M64" s="31"/>
      <c r="N64" s="536"/>
    </row>
    <row r="65" spans="1:14" s="370" customFormat="1">
      <c r="A65" s="557" t="s">
        <v>1029</v>
      </c>
      <c r="B65" s="558">
        <f>F40</f>
        <v>1977</v>
      </c>
      <c r="C65" s="555"/>
      <c r="D65" s="556"/>
      <c r="E65" s="556"/>
      <c r="F65" s="556"/>
      <c r="G65" s="551"/>
      <c r="H65" s="31"/>
      <c r="I65" s="31"/>
      <c r="J65" s="31"/>
      <c r="K65" s="31"/>
      <c r="L65" s="31"/>
      <c r="M65" s="31"/>
      <c r="N65" s="536"/>
    </row>
    <row r="66" spans="1:14" s="370" customFormat="1">
      <c r="A66" s="559" t="s">
        <v>259</v>
      </c>
      <c r="B66" s="560">
        <f>B65-B64</f>
        <v>-1040</v>
      </c>
      <c r="C66" s="555"/>
      <c r="D66" s="556"/>
      <c r="E66" s="556"/>
      <c r="F66" s="556"/>
      <c r="G66" s="551"/>
      <c r="H66" s="31"/>
      <c r="I66" s="31"/>
      <c r="J66" s="31"/>
      <c r="K66" s="31"/>
      <c r="L66" s="31"/>
      <c r="M66" s="31"/>
      <c r="N66" s="536"/>
    </row>
    <row r="67" spans="1:14" s="370" customFormat="1">
      <c r="A67" s="559" t="s">
        <v>260</v>
      </c>
      <c r="B67" s="561">
        <f>B66/B64</f>
        <v>-0.34471329134902223</v>
      </c>
      <c r="C67" s="555"/>
      <c r="D67" s="556"/>
      <c r="E67" s="556"/>
      <c r="F67" s="556"/>
      <c r="G67" s="551"/>
      <c r="H67" s="31"/>
      <c r="I67" s="31"/>
      <c r="J67" s="31"/>
      <c r="K67" s="31"/>
      <c r="L67" s="31"/>
      <c r="M67" s="31"/>
      <c r="N67" s="536"/>
    </row>
    <row r="68" spans="1:14" s="370" customFormat="1">
      <c r="A68" s="562"/>
      <c r="B68" s="556"/>
      <c r="C68" s="638"/>
      <c r="D68" s="556"/>
      <c r="E68" s="556"/>
      <c r="F68" s="556"/>
      <c r="G68" s="551"/>
      <c r="H68" s="31"/>
      <c r="I68" s="31"/>
      <c r="J68" s="31"/>
      <c r="K68" s="31"/>
      <c r="L68" s="31"/>
      <c r="M68" s="31"/>
      <c r="N68" s="536"/>
    </row>
    <row r="69" spans="1:14" s="29" customFormat="1">
      <c r="A69" s="936" t="s">
        <v>261</v>
      </c>
      <c r="B69" s="937"/>
      <c r="C69" s="937"/>
      <c r="D69" s="937"/>
      <c r="E69" s="937"/>
      <c r="F69" s="937"/>
      <c r="G69" s="733"/>
      <c r="H69" s="737"/>
      <c r="I69" s="737"/>
      <c r="J69" s="737"/>
      <c r="K69" s="737"/>
      <c r="L69" s="737"/>
      <c r="M69" s="737"/>
      <c r="N69" s="745"/>
    </row>
    <row r="70" spans="1:14" s="29" customFormat="1" ht="33" customHeight="1">
      <c r="A70" s="938" t="s">
        <v>425</v>
      </c>
      <c r="B70" s="939"/>
      <c r="C70" s="939"/>
      <c r="D70" s="939"/>
      <c r="E70" s="939"/>
      <c r="F70" s="940"/>
      <c r="G70" s="733"/>
      <c r="H70" s="737"/>
      <c r="I70" s="737"/>
      <c r="J70" s="737"/>
      <c r="K70" s="737"/>
      <c r="L70" s="737"/>
      <c r="M70" s="737"/>
      <c r="N70" s="745"/>
    </row>
    <row r="71" spans="1:14" s="29" customFormat="1">
      <c r="A71" s="734"/>
      <c r="B71" s="735"/>
      <c r="C71" s="735"/>
      <c r="D71" s="735"/>
      <c r="E71" s="735"/>
      <c r="F71" s="735"/>
      <c r="G71" s="733"/>
      <c r="H71" s="737"/>
      <c r="I71" s="737"/>
      <c r="J71" s="737"/>
      <c r="K71" s="737"/>
      <c r="L71" s="737"/>
      <c r="M71" s="737"/>
      <c r="N71" s="745"/>
    </row>
    <row r="72" spans="1:14" s="29" customFormat="1">
      <c r="A72" s="736" t="s">
        <v>262</v>
      </c>
      <c r="B72" s="737"/>
      <c r="C72" s="738"/>
      <c r="D72" s="737"/>
      <c r="E72" s="737"/>
      <c r="F72" s="737"/>
      <c r="G72" s="733"/>
      <c r="H72" s="737"/>
      <c r="I72" s="737"/>
      <c r="J72" s="737"/>
      <c r="K72" s="737"/>
      <c r="L72" s="737"/>
      <c r="M72" s="737"/>
      <c r="N72" s="745"/>
    </row>
    <row r="73" spans="1:14" s="29" customFormat="1" ht="33.75" customHeight="1">
      <c r="A73" s="938" t="s">
        <v>1242</v>
      </c>
      <c r="B73" s="939"/>
      <c r="C73" s="939"/>
      <c r="D73" s="939"/>
      <c r="E73" s="939"/>
      <c r="F73" s="940"/>
      <c r="G73" s="733"/>
      <c r="H73" s="737"/>
      <c r="I73" s="737"/>
      <c r="J73" s="737"/>
      <c r="K73" s="737"/>
      <c r="L73" s="737"/>
      <c r="M73" s="737"/>
      <c r="N73" s="745"/>
    </row>
    <row r="74" spans="1:14" s="29" customFormat="1">
      <c r="A74" s="739"/>
      <c r="B74" s="737"/>
      <c r="C74" s="738"/>
      <c r="D74" s="737"/>
      <c r="E74" s="737"/>
      <c r="F74" s="737"/>
      <c r="G74" s="733"/>
      <c r="H74" s="737"/>
      <c r="I74" s="737"/>
      <c r="J74" s="737"/>
      <c r="K74" s="737"/>
      <c r="L74" s="737"/>
      <c r="M74" s="737"/>
      <c r="N74" s="745"/>
    </row>
    <row r="75" spans="1:14" s="29" customFormat="1">
      <c r="A75" s="936" t="s">
        <v>1020</v>
      </c>
      <c r="B75" s="937"/>
      <c r="C75" s="937"/>
      <c r="D75" s="937"/>
      <c r="E75" s="937"/>
      <c r="F75" s="937"/>
      <c r="G75" s="733"/>
      <c r="H75" s="737"/>
      <c r="I75" s="737"/>
      <c r="J75" s="737"/>
      <c r="K75" s="737"/>
      <c r="L75" s="737"/>
      <c r="M75" s="737"/>
      <c r="N75" s="745"/>
    </row>
    <row r="76" spans="1:14" s="29" customFormat="1">
      <c r="A76" s="941" t="s">
        <v>1021</v>
      </c>
      <c r="B76" s="942"/>
      <c r="C76" s="942"/>
      <c r="D76" s="942"/>
      <c r="E76" s="942"/>
      <c r="F76" s="942"/>
      <c r="G76" s="733"/>
      <c r="H76" s="737"/>
      <c r="I76" s="737"/>
      <c r="J76" s="737"/>
      <c r="K76" s="737"/>
      <c r="L76" s="737"/>
      <c r="M76" s="737"/>
      <c r="N76" s="745"/>
    </row>
    <row r="77" spans="1:14" s="29" customFormat="1" ht="25" customHeight="1">
      <c r="A77" s="938" t="s">
        <v>1316</v>
      </c>
      <c r="B77" s="939"/>
      <c r="C77" s="939"/>
      <c r="D77" s="939"/>
      <c r="E77" s="939"/>
      <c r="F77" s="940"/>
      <c r="G77" s="733"/>
      <c r="H77" s="737"/>
      <c r="I77" s="737"/>
      <c r="J77" s="737"/>
      <c r="K77" s="737"/>
      <c r="L77" s="737"/>
      <c r="M77" s="737"/>
      <c r="N77" s="745"/>
    </row>
    <row r="78" spans="1:14" s="29" customFormat="1">
      <c r="A78" s="736"/>
      <c r="B78" s="737"/>
      <c r="C78" s="738"/>
      <c r="D78" s="737"/>
      <c r="E78" s="737"/>
      <c r="F78" s="737"/>
      <c r="G78" s="733"/>
      <c r="H78" s="737"/>
      <c r="I78" s="737"/>
      <c r="J78" s="737"/>
      <c r="K78" s="737"/>
      <c r="L78" s="737"/>
      <c r="M78" s="737"/>
      <c r="N78" s="745"/>
    </row>
    <row r="79" spans="1:14" s="29" customFormat="1">
      <c r="A79" s="936" t="s">
        <v>264</v>
      </c>
      <c r="B79" s="937"/>
      <c r="C79" s="937"/>
      <c r="D79" s="937"/>
      <c r="E79" s="937"/>
      <c r="F79" s="737"/>
      <c r="G79" s="733"/>
      <c r="H79" s="737"/>
      <c r="I79" s="737"/>
      <c r="J79" s="737"/>
      <c r="K79" s="737"/>
      <c r="L79" s="737"/>
      <c r="M79" s="737"/>
      <c r="N79" s="745"/>
    </row>
    <row r="80" spans="1:14" s="29" customFormat="1" ht="30.25" customHeight="1">
      <c r="A80" s="943" t="s">
        <v>334</v>
      </c>
      <c r="B80" s="946"/>
      <c r="C80" s="946"/>
      <c r="D80" s="946"/>
      <c r="E80" s="946"/>
      <c r="F80" s="947"/>
      <c r="G80" s="733"/>
      <c r="H80" s="737"/>
      <c r="I80" s="737"/>
      <c r="J80" s="737"/>
      <c r="K80" s="737"/>
      <c r="L80" s="737"/>
      <c r="M80" s="737"/>
      <c r="N80" s="745"/>
    </row>
    <row r="81" spans="1:14" s="29" customFormat="1">
      <c r="A81" s="739"/>
      <c r="B81" s="737"/>
      <c r="C81" s="738"/>
      <c r="D81" s="737"/>
      <c r="E81" s="737"/>
      <c r="F81" s="737"/>
      <c r="G81" s="733"/>
      <c r="H81" s="737"/>
      <c r="I81" s="737"/>
      <c r="J81" s="737"/>
      <c r="K81" s="737"/>
      <c r="L81" s="737"/>
      <c r="M81" s="737"/>
      <c r="N81" s="745"/>
    </row>
    <row r="82" spans="1:14" s="29" customFormat="1">
      <c r="A82" s="736" t="s">
        <v>265</v>
      </c>
      <c r="B82" s="737"/>
      <c r="C82" s="738"/>
      <c r="D82" s="737"/>
      <c r="E82" s="737"/>
      <c r="F82" s="737"/>
      <c r="G82" s="733"/>
      <c r="H82" s="737"/>
      <c r="I82" s="737"/>
      <c r="J82" s="737"/>
      <c r="K82" s="737"/>
      <c r="L82" s="737"/>
      <c r="M82" s="737"/>
      <c r="N82" s="745"/>
    </row>
    <row r="83" spans="1:14" s="29" customFormat="1">
      <c r="A83" s="740" t="s">
        <v>266</v>
      </c>
      <c r="B83" s="737"/>
      <c r="C83" s="738"/>
      <c r="D83" s="737"/>
      <c r="E83" s="737"/>
      <c r="F83" s="737"/>
      <c r="G83" s="733"/>
      <c r="H83" s="737"/>
      <c r="I83" s="737"/>
      <c r="J83" s="737"/>
      <c r="K83" s="737"/>
      <c r="L83" s="737"/>
      <c r="M83" s="737"/>
      <c r="N83" s="745"/>
    </row>
    <row r="84" spans="1:14" s="29" customFormat="1" ht="26.25" customHeight="1">
      <c r="A84" s="948" t="s">
        <v>1030</v>
      </c>
      <c r="B84" s="949"/>
      <c r="C84" s="949"/>
      <c r="D84" s="949"/>
      <c r="E84" s="949"/>
      <c r="F84" s="949"/>
      <c r="G84" s="733"/>
      <c r="H84" s="737"/>
      <c r="I84" s="737"/>
      <c r="J84" s="737"/>
      <c r="K84" s="737"/>
      <c r="L84" s="737"/>
      <c r="M84" s="737"/>
      <c r="N84" s="745"/>
    </row>
    <row r="85" spans="1:14" s="29" customFormat="1" ht="26.25" customHeight="1">
      <c r="A85" s="938" t="s">
        <v>426</v>
      </c>
      <c r="B85" s="939"/>
      <c r="C85" s="939"/>
      <c r="D85" s="939"/>
      <c r="E85" s="939"/>
      <c r="F85" s="940"/>
      <c r="G85" s="733"/>
      <c r="H85" s="737"/>
      <c r="I85" s="737"/>
      <c r="J85" s="737"/>
      <c r="K85" s="737"/>
      <c r="L85" s="737"/>
      <c r="M85" s="737"/>
      <c r="N85" s="745"/>
    </row>
    <row r="86" spans="1:14" s="29" customFormat="1">
      <c r="A86" s="950"/>
      <c r="B86" s="951"/>
      <c r="C86" s="951"/>
      <c r="D86" s="951"/>
      <c r="E86" s="951"/>
      <c r="F86" s="951"/>
      <c r="G86" s="733"/>
      <c r="H86" s="737"/>
      <c r="I86" s="737"/>
      <c r="J86" s="737"/>
      <c r="K86" s="737"/>
      <c r="L86" s="737"/>
      <c r="M86" s="737"/>
      <c r="N86" s="745"/>
    </row>
    <row r="87" spans="1:14" s="29" customFormat="1">
      <c r="A87" s="740" t="s">
        <v>268</v>
      </c>
      <c r="B87" s="737"/>
      <c r="C87" s="738"/>
      <c r="D87" s="737"/>
      <c r="E87" s="737"/>
      <c r="F87" s="737"/>
      <c r="G87" s="733"/>
      <c r="H87" s="737"/>
      <c r="I87" s="737"/>
      <c r="J87" s="737"/>
      <c r="K87" s="737"/>
      <c r="L87" s="737"/>
      <c r="M87" s="737"/>
      <c r="N87" s="745"/>
    </row>
    <row r="88" spans="1:14" s="29" customFormat="1" ht="28.75" customHeight="1">
      <c r="A88" s="948" t="s">
        <v>269</v>
      </c>
      <c r="B88" s="949"/>
      <c r="C88" s="949"/>
      <c r="D88" s="949"/>
      <c r="E88" s="949"/>
      <c r="F88" s="949"/>
      <c r="G88" s="733"/>
      <c r="H88" s="737"/>
      <c r="I88" s="737"/>
      <c r="J88" s="737"/>
      <c r="K88" s="737"/>
      <c r="L88" s="737"/>
      <c r="M88" s="737"/>
      <c r="N88" s="745"/>
    </row>
    <row r="89" spans="1:14" s="29" customFormat="1" ht="19.5" customHeight="1">
      <c r="A89" s="943"/>
      <c r="B89" s="944"/>
      <c r="C89" s="944"/>
      <c r="D89" s="944"/>
      <c r="E89" s="944"/>
      <c r="F89" s="945"/>
      <c r="G89" s="733"/>
      <c r="H89" s="737"/>
      <c r="I89" s="737"/>
      <c r="J89" s="737"/>
      <c r="K89" s="737"/>
      <c r="L89" s="737"/>
      <c r="M89" s="737"/>
      <c r="N89" s="745"/>
    </row>
    <row r="90" spans="1:14" s="29" customFormat="1" ht="15" thickBot="1">
      <c r="A90" s="741"/>
      <c r="B90" s="742"/>
      <c r="C90" s="743"/>
      <c r="D90" s="742"/>
      <c r="E90" s="742"/>
      <c r="F90" s="742"/>
      <c r="G90" s="744"/>
      <c r="H90" s="737"/>
      <c r="I90" s="737"/>
      <c r="J90" s="737"/>
      <c r="K90" s="737"/>
      <c r="L90" s="737"/>
      <c r="M90" s="737"/>
      <c r="N90" s="745"/>
    </row>
    <row r="91" spans="1:14" s="29" customFormat="1">
      <c r="A91" s="737"/>
      <c r="B91" s="737"/>
      <c r="C91" s="738"/>
      <c r="D91" s="737"/>
      <c r="E91" s="737"/>
      <c r="F91" s="737"/>
      <c r="G91" s="737"/>
      <c r="H91" s="737"/>
      <c r="I91" s="737"/>
      <c r="J91" s="737"/>
      <c r="K91" s="737"/>
      <c r="L91" s="737"/>
      <c r="M91" s="737"/>
      <c r="N91" s="745"/>
    </row>
    <row r="92" spans="1:14" s="29" customFormat="1">
      <c r="A92" s="737"/>
      <c r="B92" s="737"/>
      <c r="C92" s="738"/>
      <c r="D92" s="737"/>
      <c r="E92" s="737"/>
      <c r="F92" s="737"/>
      <c r="G92" s="737"/>
      <c r="H92" s="737"/>
      <c r="I92" s="737"/>
      <c r="J92" s="737"/>
      <c r="K92" s="737"/>
      <c r="L92" s="737"/>
      <c r="M92" s="737"/>
      <c r="N92" s="745"/>
    </row>
    <row r="93" spans="1:14" s="29" customFormat="1">
      <c r="A93" s="737"/>
      <c r="B93" s="737"/>
      <c r="C93" s="738"/>
      <c r="D93" s="737"/>
      <c r="E93" s="737"/>
      <c r="F93" s="737"/>
      <c r="G93" s="737"/>
      <c r="H93" s="737"/>
      <c r="I93" s="737"/>
      <c r="J93" s="737"/>
      <c r="K93" s="737"/>
      <c r="L93" s="737"/>
      <c r="M93" s="737"/>
      <c r="N93" s="745"/>
    </row>
    <row r="94" spans="1:14" s="29" customFormat="1">
      <c r="A94" s="737"/>
      <c r="B94" s="737"/>
      <c r="C94" s="738"/>
      <c r="D94" s="737"/>
      <c r="E94" s="737"/>
      <c r="F94" s="737"/>
      <c r="G94" s="737"/>
      <c r="H94" s="737"/>
      <c r="I94" s="737"/>
      <c r="J94" s="737"/>
      <c r="K94" s="737"/>
      <c r="L94" s="737"/>
      <c r="M94" s="737"/>
      <c r="N94" s="745"/>
    </row>
    <row r="95" spans="1:14" s="29" customFormat="1">
      <c r="A95" s="737"/>
      <c r="B95" s="737"/>
      <c r="C95" s="738"/>
      <c r="D95" s="737"/>
      <c r="E95" s="737"/>
      <c r="F95" s="737"/>
      <c r="G95" s="737"/>
      <c r="H95" s="737"/>
      <c r="I95" s="737"/>
      <c r="J95" s="737"/>
      <c r="K95" s="737"/>
      <c r="L95" s="737"/>
      <c r="M95" s="737"/>
      <c r="N95" s="745"/>
    </row>
    <row r="96" spans="1:14" s="29" customFormat="1">
      <c r="A96" s="737"/>
      <c r="B96" s="737"/>
      <c r="C96" s="738"/>
      <c r="D96" s="737"/>
      <c r="E96" s="737"/>
      <c r="F96" s="737"/>
      <c r="G96" s="737"/>
      <c r="H96" s="737"/>
      <c r="I96" s="737"/>
      <c r="J96" s="737"/>
      <c r="K96" s="737"/>
      <c r="L96" s="737"/>
      <c r="M96" s="737"/>
      <c r="N96" s="745"/>
    </row>
    <row r="97" spans="1:14" s="29" customFormat="1">
      <c r="A97" s="737"/>
      <c r="B97" s="737"/>
      <c r="C97" s="738"/>
      <c r="D97" s="737"/>
      <c r="E97" s="737"/>
      <c r="F97" s="737"/>
      <c r="G97" s="737"/>
      <c r="H97" s="737"/>
      <c r="I97" s="737"/>
      <c r="J97" s="737"/>
      <c r="K97" s="737"/>
      <c r="L97" s="737"/>
      <c r="M97" s="737"/>
      <c r="N97" s="745"/>
    </row>
    <row r="98" spans="1:14" s="29" customFormat="1">
      <c r="A98" s="737"/>
      <c r="B98" s="737"/>
      <c r="C98" s="738"/>
      <c r="D98" s="737"/>
      <c r="E98" s="737"/>
      <c r="F98" s="737"/>
      <c r="G98" s="737"/>
      <c r="H98" s="737"/>
      <c r="I98" s="737"/>
      <c r="J98" s="737"/>
      <c r="K98" s="737"/>
      <c r="L98" s="737"/>
      <c r="M98" s="737"/>
      <c r="N98" s="745"/>
    </row>
    <row r="99" spans="1:14" s="29" customFormat="1">
      <c r="A99" s="737"/>
      <c r="B99" s="737"/>
      <c r="C99" s="738"/>
      <c r="D99" s="737"/>
      <c r="E99" s="737"/>
      <c r="F99" s="737"/>
      <c r="G99" s="737"/>
      <c r="H99" s="737"/>
      <c r="I99" s="737"/>
      <c r="J99" s="737"/>
      <c r="K99" s="737"/>
      <c r="L99" s="737"/>
      <c r="M99" s="737"/>
      <c r="N99" s="745"/>
    </row>
    <row r="100" spans="1:14" s="29" customFormat="1">
      <c r="A100" s="737"/>
      <c r="B100" s="737"/>
      <c r="C100" s="738"/>
      <c r="D100" s="737"/>
      <c r="E100" s="737"/>
      <c r="F100" s="737"/>
      <c r="G100" s="737"/>
      <c r="H100" s="737"/>
      <c r="I100" s="737"/>
      <c r="J100" s="737"/>
      <c r="K100" s="737"/>
      <c r="L100" s="737"/>
      <c r="M100" s="737"/>
      <c r="N100" s="745"/>
    </row>
    <row r="101" spans="1:14" s="29" customFormat="1">
      <c r="A101" s="737"/>
      <c r="B101" s="737"/>
      <c r="C101" s="738"/>
      <c r="D101" s="737"/>
      <c r="E101" s="737"/>
      <c r="F101" s="737"/>
      <c r="G101" s="737"/>
      <c r="H101" s="737"/>
      <c r="I101" s="737"/>
      <c r="J101" s="737"/>
      <c r="K101" s="737"/>
      <c r="L101" s="737"/>
      <c r="M101" s="737"/>
      <c r="N101" s="745"/>
    </row>
    <row r="102" spans="1:14" s="29" customFormat="1">
      <c r="A102" s="737"/>
      <c r="B102" s="737"/>
      <c r="C102" s="738"/>
      <c r="D102" s="737"/>
      <c r="E102" s="737"/>
      <c r="F102" s="737"/>
      <c r="G102" s="737"/>
      <c r="H102" s="737"/>
      <c r="I102" s="737"/>
      <c r="J102" s="737"/>
      <c r="K102" s="737"/>
      <c r="L102" s="737"/>
      <c r="M102" s="737"/>
      <c r="N102" s="745"/>
    </row>
    <row r="103" spans="1:14" s="29" customFormat="1">
      <c r="A103" s="737"/>
      <c r="B103" s="737"/>
      <c r="C103" s="738"/>
      <c r="D103" s="737"/>
      <c r="E103" s="737"/>
      <c r="F103" s="737"/>
      <c r="G103" s="737"/>
      <c r="H103" s="737"/>
      <c r="I103" s="737"/>
      <c r="J103" s="737"/>
      <c r="K103" s="737"/>
      <c r="L103" s="737"/>
      <c r="M103" s="737"/>
      <c r="N103" s="745"/>
    </row>
    <row r="104" spans="1:14" s="29" customFormat="1">
      <c r="A104" s="737"/>
      <c r="B104" s="737"/>
      <c r="C104" s="738"/>
      <c r="D104" s="737"/>
      <c r="E104" s="737"/>
      <c r="F104" s="737"/>
      <c r="G104" s="737"/>
      <c r="H104" s="737"/>
      <c r="I104" s="737"/>
      <c r="J104" s="737"/>
      <c r="K104" s="737"/>
      <c r="L104" s="737"/>
      <c r="M104" s="737"/>
      <c r="N104" s="745"/>
    </row>
    <row r="105" spans="1:14" s="29" customFormat="1">
      <c r="A105" s="737"/>
      <c r="B105" s="737"/>
      <c r="C105" s="738"/>
      <c r="D105" s="737"/>
      <c r="E105" s="737"/>
      <c r="F105" s="737"/>
      <c r="G105" s="737"/>
      <c r="H105" s="737"/>
      <c r="I105" s="737"/>
      <c r="J105" s="737"/>
      <c r="K105" s="737"/>
      <c r="L105" s="737"/>
      <c r="M105" s="737"/>
      <c r="N105" s="745"/>
    </row>
  </sheetData>
  <mergeCells count="22">
    <mergeCell ref="A89:F89"/>
    <mergeCell ref="A80:F80"/>
    <mergeCell ref="A84:F84"/>
    <mergeCell ref="A85:F85"/>
    <mergeCell ref="A86:F86"/>
    <mergeCell ref="A88:F88"/>
    <mergeCell ref="A73:F73"/>
    <mergeCell ref="A75:F75"/>
    <mergeCell ref="A76:F76"/>
    <mergeCell ref="A77:F77"/>
    <mergeCell ref="A79:E79"/>
    <mergeCell ref="A61:F61"/>
    <mergeCell ref="A62:F62"/>
    <mergeCell ref="A63:B63"/>
    <mergeCell ref="A69:F69"/>
    <mergeCell ref="A70:F70"/>
    <mergeCell ref="G47:J47"/>
    <mergeCell ref="A44:D44"/>
    <mergeCell ref="A45:D45"/>
    <mergeCell ref="A1:N1"/>
    <mergeCell ref="A42:E42"/>
    <mergeCell ref="A43:D43"/>
  </mergeCells>
  <printOptions horizontalCentered="1"/>
  <pageMargins left="0.2" right="0.2" top="0.75" bottom="0.75" header="0.3" footer="0.3"/>
  <pageSetup scale="67" fitToHeight="0" orientation="landscape" r:id="rId1"/>
  <headerFooter>
    <oddHeader xml:space="preserve">&amp;CDRAFT NOT FOR DISTRIBUTION, INTERNAL USE ONLY
</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pageSetUpPr fitToPage="1"/>
  </sheetPr>
  <dimension ref="A1:N96"/>
  <sheetViews>
    <sheetView zoomScaleNormal="100" workbookViewId="0">
      <selection sqref="A1:N1"/>
    </sheetView>
  </sheetViews>
  <sheetFormatPr defaultRowHeight="14.5"/>
  <cols>
    <col min="1" max="1" width="50.453125" customWidth="1"/>
    <col min="2" max="2" width="16" customWidth="1"/>
    <col min="3" max="3" width="7.7265625" style="30" customWidth="1"/>
    <col min="4" max="4" width="7.26953125" bestFit="1"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47.1796875" customWidth="1"/>
  </cols>
  <sheetData>
    <row r="1" spans="1:14" ht="15.5">
      <c r="A1" s="854" t="s">
        <v>412</v>
      </c>
      <c r="B1" s="854"/>
      <c r="C1" s="854"/>
      <c r="D1" s="854"/>
      <c r="E1" s="854"/>
      <c r="F1" s="854"/>
      <c r="G1" s="854"/>
      <c r="H1" s="854"/>
      <c r="I1" s="854"/>
      <c r="J1" s="854"/>
      <c r="K1" s="854"/>
      <c r="L1" s="854"/>
      <c r="M1" s="854"/>
      <c r="N1" s="854"/>
    </row>
    <row r="2" spans="1:14">
      <c r="A2" s="702" t="s">
        <v>427</v>
      </c>
      <c r="B2" s="370"/>
      <c r="C2" s="639"/>
      <c r="D2" s="370"/>
      <c r="E2" s="370"/>
      <c r="F2" s="370"/>
      <c r="G2" s="370"/>
      <c r="H2" s="370"/>
      <c r="I2" s="370"/>
      <c r="J2" s="370"/>
      <c r="K2" s="370"/>
      <c r="L2" s="370"/>
      <c r="M2" s="370"/>
      <c r="N2" s="370"/>
    </row>
    <row r="3" spans="1:14">
      <c r="A3" s="506" t="s">
        <v>428</v>
      </c>
      <c r="B3" s="370"/>
      <c r="C3" s="639"/>
      <c r="D3" s="29"/>
      <c r="E3" s="451" t="s">
        <v>210</v>
      </c>
      <c r="F3" s="442"/>
      <c r="G3" s="29"/>
      <c r="H3" s="370"/>
      <c r="I3" s="370"/>
      <c r="J3" s="370"/>
      <c r="K3" s="370"/>
      <c r="L3" s="370"/>
      <c r="M3" s="370"/>
      <c r="N3" s="370"/>
    </row>
    <row r="4" spans="1:14">
      <c r="A4" s="506" t="s">
        <v>429</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38.5">
      <c r="A7" s="57" t="s">
        <v>430</v>
      </c>
      <c r="B7" s="167" t="s">
        <v>1195</v>
      </c>
      <c r="C7" s="37" t="s">
        <v>218</v>
      </c>
      <c r="D7" s="39">
        <v>3</v>
      </c>
      <c r="E7" s="258">
        <v>450</v>
      </c>
      <c r="F7" s="303">
        <f t="shared" ref="F7:F9" si="0">SUM(G7:M7)</f>
        <v>491</v>
      </c>
      <c r="G7" s="304">
        <v>0</v>
      </c>
      <c r="H7" s="304">
        <v>491</v>
      </c>
      <c r="I7" s="304">
        <v>0</v>
      </c>
      <c r="J7" s="304">
        <v>0</v>
      </c>
      <c r="K7" s="304">
        <v>0</v>
      </c>
      <c r="L7" s="304">
        <v>0</v>
      </c>
      <c r="M7" s="305">
        <v>0</v>
      </c>
      <c r="N7" s="318" t="s">
        <v>1196</v>
      </c>
    </row>
    <row r="8" spans="1:14" ht="15" customHeight="1">
      <c r="A8" s="57" t="s">
        <v>432</v>
      </c>
      <c r="B8" s="530" t="s">
        <v>766</v>
      </c>
      <c r="C8" s="37" t="s">
        <v>218</v>
      </c>
      <c r="D8" s="39">
        <v>0.2</v>
      </c>
      <c r="E8" s="258">
        <v>25</v>
      </c>
      <c r="F8" s="303">
        <f t="shared" si="0"/>
        <v>30</v>
      </c>
      <c r="G8" s="304">
        <v>0</v>
      </c>
      <c r="H8" s="304">
        <v>30</v>
      </c>
      <c r="I8" s="304">
        <v>0</v>
      </c>
      <c r="J8" s="304">
        <v>0</v>
      </c>
      <c r="K8" s="304">
        <v>0</v>
      </c>
      <c r="L8" s="304">
        <v>0</v>
      </c>
      <c r="M8" s="305">
        <v>0</v>
      </c>
      <c r="N8" s="318" t="s">
        <v>433</v>
      </c>
    </row>
    <row r="9" spans="1:14">
      <c r="A9" s="57" t="s">
        <v>434</v>
      </c>
      <c r="B9" s="530" t="s">
        <v>766</v>
      </c>
      <c r="C9" s="37" t="s">
        <v>218</v>
      </c>
      <c r="D9" s="39">
        <v>1</v>
      </c>
      <c r="E9" s="258">
        <v>133</v>
      </c>
      <c r="F9" s="303">
        <f t="shared" si="0"/>
        <v>138</v>
      </c>
      <c r="G9" s="304">
        <v>0</v>
      </c>
      <c r="H9" s="304">
        <v>138</v>
      </c>
      <c r="I9" s="304">
        <v>0</v>
      </c>
      <c r="J9" s="304">
        <v>0</v>
      </c>
      <c r="K9" s="304">
        <v>0</v>
      </c>
      <c r="L9" s="304">
        <v>0</v>
      </c>
      <c r="M9" s="305">
        <v>0</v>
      </c>
      <c r="N9" s="318" t="s">
        <v>431</v>
      </c>
    </row>
    <row r="10" spans="1:14" ht="15" customHeight="1">
      <c r="A10" s="36" t="s">
        <v>382</v>
      </c>
      <c r="B10" s="259"/>
      <c r="C10" s="37" t="s">
        <v>218</v>
      </c>
      <c r="D10" s="39"/>
      <c r="E10" s="258">
        <v>0</v>
      </c>
      <c r="F10" s="303">
        <f t="shared" ref="F10:F14" si="1">SUM(G10:M10)</f>
        <v>0</v>
      </c>
      <c r="G10" s="304">
        <v>0</v>
      </c>
      <c r="H10" s="304">
        <v>0</v>
      </c>
      <c r="I10" s="304">
        <v>0</v>
      </c>
      <c r="J10" s="304">
        <v>0</v>
      </c>
      <c r="K10" s="304">
        <v>0</v>
      </c>
      <c r="L10" s="304">
        <v>0</v>
      </c>
      <c r="M10" s="305">
        <v>0</v>
      </c>
      <c r="N10" s="320"/>
    </row>
    <row r="11" spans="1:14" ht="15" customHeight="1">
      <c r="A11" s="36" t="s">
        <v>382</v>
      </c>
      <c r="B11" s="36"/>
      <c r="C11" s="37" t="s">
        <v>218</v>
      </c>
      <c r="D11" s="39"/>
      <c r="E11" s="258">
        <v>0</v>
      </c>
      <c r="F11" s="303">
        <f t="shared" si="1"/>
        <v>0</v>
      </c>
      <c r="G11" s="304">
        <v>0</v>
      </c>
      <c r="H11" s="304">
        <v>0</v>
      </c>
      <c r="I11" s="304">
        <v>0</v>
      </c>
      <c r="J11" s="304">
        <v>0</v>
      </c>
      <c r="K11" s="304">
        <v>0</v>
      </c>
      <c r="L11" s="304">
        <v>0</v>
      </c>
      <c r="M11" s="305">
        <v>0</v>
      </c>
      <c r="N11" s="348"/>
    </row>
    <row r="12" spans="1:14">
      <c r="A12" s="36" t="s">
        <v>217</v>
      </c>
      <c r="B12" s="259"/>
      <c r="C12" s="37" t="s">
        <v>218</v>
      </c>
      <c r="D12" s="39"/>
      <c r="E12" s="258">
        <v>0</v>
      </c>
      <c r="F12" s="303">
        <f t="shared" si="1"/>
        <v>0</v>
      </c>
      <c r="G12" s="304">
        <v>0</v>
      </c>
      <c r="H12" s="304">
        <v>0</v>
      </c>
      <c r="I12" s="304">
        <v>0</v>
      </c>
      <c r="J12" s="304">
        <v>0</v>
      </c>
      <c r="K12" s="304">
        <v>0</v>
      </c>
      <c r="L12" s="304">
        <v>0</v>
      </c>
      <c r="M12" s="305">
        <v>0</v>
      </c>
      <c r="N12" s="348"/>
    </row>
    <row r="13" spans="1:14">
      <c r="A13" s="36" t="s">
        <v>217</v>
      </c>
      <c r="B13" s="259"/>
      <c r="C13" s="37" t="s">
        <v>218</v>
      </c>
      <c r="D13" s="39"/>
      <c r="E13" s="258">
        <v>0</v>
      </c>
      <c r="F13" s="303">
        <f t="shared" si="1"/>
        <v>0</v>
      </c>
      <c r="G13" s="304">
        <v>0</v>
      </c>
      <c r="H13" s="304">
        <v>0</v>
      </c>
      <c r="I13" s="304">
        <v>0</v>
      </c>
      <c r="J13" s="304">
        <v>0</v>
      </c>
      <c r="K13" s="304">
        <v>0</v>
      </c>
      <c r="L13" s="304">
        <v>0</v>
      </c>
      <c r="M13" s="305">
        <v>0</v>
      </c>
      <c r="N13" s="348"/>
    </row>
    <row r="14" spans="1:14">
      <c r="A14" s="36" t="s">
        <v>217</v>
      </c>
      <c r="B14" s="260"/>
      <c r="C14" s="37" t="s">
        <v>218</v>
      </c>
      <c r="D14" s="39"/>
      <c r="E14" s="258">
        <v>0</v>
      </c>
      <c r="F14" s="303">
        <f t="shared" si="1"/>
        <v>0</v>
      </c>
      <c r="G14" s="304">
        <v>0</v>
      </c>
      <c r="H14" s="304">
        <v>0</v>
      </c>
      <c r="I14" s="304">
        <v>0</v>
      </c>
      <c r="J14" s="304">
        <v>0</v>
      </c>
      <c r="K14" s="304">
        <v>0</v>
      </c>
      <c r="L14" s="304">
        <v>0</v>
      </c>
      <c r="M14" s="305">
        <v>0</v>
      </c>
      <c r="N14" s="348"/>
    </row>
    <row r="15" spans="1:14">
      <c r="A15" s="40" t="s">
        <v>219</v>
      </c>
      <c r="B15" s="260"/>
      <c r="C15" s="261"/>
      <c r="D15" s="41">
        <f t="shared" ref="D15:M15" si="2">SUM(D7:D14)</f>
        <v>4.2</v>
      </c>
      <c r="E15" s="42">
        <f t="shared" si="2"/>
        <v>608</v>
      </c>
      <c r="F15" s="43">
        <f t="shared" si="2"/>
        <v>659</v>
      </c>
      <c r="G15" s="43">
        <f t="shared" si="2"/>
        <v>0</v>
      </c>
      <c r="H15" s="43">
        <f t="shared" si="2"/>
        <v>659</v>
      </c>
      <c r="I15" s="43">
        <f t="shared" si="2"/>
        <v>0</v>
      </c>
      <c r="J15" s="43">
        <f t="shared" si="2"/>
        <v>0</v>
      </c>
      <c r="K15" s="43">
        <f t="shared" si="2"/>
        <v>0</v>
      </c>
      <c r="L15" s="43">
        <f t="shared" si="2"/>
        <v>0</v>
      </c>
      <c r="M15" s="43">
        <f t="shared" si="2"/>
        <v>0</v>
      </c>
      <c r="N15" s="249"/>
    </row>
    <row r="16" spans="1:14">
      <c r="A16" s="67" t="s">
        <v>220</v>
      </c>
      <c r="B16" s="68"/>
      <c r="C16" s="69"/>
      <c r="D16" s="68"/>
      <c r="E16" s="68"/>
      <c r="F16" s="70"/>
      <c r="G16" s="70"/>
      <c r="H16" s="70"/>
      <c r="I16" s="70"/>
      <c r="J16" s="70"/>
      <c r="K16" s="70"/>
      <c r="L16" s="70"/>
      <c r="M16" s="70"/>
      <c r="N16" s="70"/>
    </row>
    <row r="17" spans="1:14">
      <c r="A17" s="259" t="s">
        <v>278</v>
      </c>
      <c r="B17" s="259"/>
      <c r="C17" s="44">
        <v>253</v>
      </c>
      <c r="D17" s="45"/>
      <c r="E17" s="258">
        <v>0</v>
      </c>
      <c r="F17" s="350">
        <f>SUM(G17:M17)</f>
        <v>0</v>
      </c>
      <c r="G17" s="304">
        <v>0</v>
      </c>
      <c r="H17" s="304">
        <v>0</v>
      </c>
      <c r="I17" s="304">
        <v>0</v>
      </c>
      <c r="J17" s="304">
        <v>0</v>
      </c>
      <c r="K17" s="304">
        <v>0</v>
      </c>
      <c r="L17" s="304">
        <v>0</v>
      </c>
      <c r="M17" s="305">
        <v>0</v>
      </c>
      <c r="N17" s="320"/>
    </row>
    <row r="18" spans="1:14">
      <c r="A18" s="259" t="s">
        <v>278</v>
      </c>
      <c r="B18" s="259"/>
      <c r="C18" s="44">
        <v>253</v>
      </c>
      <c r="D18" s="45"/>
      <c r="E18" s="258">
        <v>0</v>
      </c>
      <c r="F18" s="350">
        <f>SUM(G18:M18)</f>
        <v>0</v>
      </c>
      <c r="G18" s="304">
        <v>0</v>
      </c>
      <c r="H18" s="304">
        <v>0</v>
      </c>
      <c r="I18" s="304">
        <v>0</v>
      </c>
      <c r="J18" s="304">
        <v>0</v>
      </c>
      <c r="K18" s="304">
        <v>0</v>
      </c>
      <c r="L18" s="304">
        <v>0</v>
      </c>
      <c r="M18" s="305">
        <v>0</v>
      </c>
      <c r="N18" s="521"/>
    </row>
    <row r="19" spans="1:14" s="370" customFormat="1" ht="29">
      <c r="A19" s="259" t="s">
        <v>980</v>
      </c>
      <c r="B19" s="259" t="s">
        <v>981</v>
      </c>
      <c r="C19" s="44">
        <v>253</v>
      </c>
      <c r="D19" s="262"/>
      <c r="E19" s="258">
        <v>239</v>
      </c>
      <c r="F19" s="350">
        <f>SUM(G19:M19)</f>
        <v>239</v>
      </c>
      <c r="G19" s="304">
        <v>0</v>
      </c>
      <c r="H19" s="304">
        <v>0</v>
      </c>
      <c r="I19" s="304">
        <v>0</v>
      </c>
      <c r="J19" s="304">
        <v>0</v>
      </c>
      <c r="K19" s="304">
        <v>0</v>
      </c>
      <c r="L19" s="304">
        <v>239</v>
      </c>
      <c r="M19" s="305">
        <v>0</v>
      </c>
      <c r="N19" s="521" t="s">
        <v>982</v>
      </c>
    </row>
    <row r="20" spans="1:14">
      <c r="A20" s="259" t="s">
        <v>437</v>
      </c>
      <c r="B20" s="259" t="s">
        <v>438</v>
      </c>
      <c r="C20" s="44">
        <v>253</v>
      </c>
      <c r="D20" s="262"/>
      <c r="E20" s="258">
        <v>70</v>
      </c>
      <c r="F20" s="350">
        <f>SUM(G20:M20)</f>
        <v>70</v>
      </c>
      <c r="G20" s="304">
        <v>0</v>
      </c>
      <c r="H20" s="304">
        <v>0</v>
      </c>
      <c r="I20" s="304"/>
      <c r="J20" s="304">
        <v>0</v>
      </c>
      <c r="K20" s="304">
        <v>0</v>
      </c>
      <c r="L20" s="304">
        <v>70</v>
      </c>
      <c r="M20" s="305">
        <v>0</v>
      </c>
      <c r="N20" s="318" t="s">
        <v>439</v>
      </c>
    </row>
    <row r="21" spans="1:14" s="7"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 t="shared" ref="D22:M22" si="3">SUM(D17:D21)</f>
        <v>0</v>
      </c>
      <c r="E22" s="42">
        <f t="shared" si="3"/>
        <v>309</v>
      </c>
      <c r="F22" s="43">
        <f t="shared" si="3"/>
        <v>309</v>
      </c>
      <c r="G22" s="43">
        <f t="shared" si="3"/>
        <v>0</v>
      </c>
      <c r="H22" s="43">
        <f t="shared" si="3"/>
        <v>0</v>
      </c>
      <c r="I22" s="43">
        <f t="shared" si="3"/>
        <v>0</v>
      </c>
      <c r="J22" s="43">
        <f t="shared" si="3"/>
        <v>0</v>
      </c>
      <c r="K22" s="43">
        <f t="shared" si="3"/>
        <v>0</v>
      </c>
      <c r="L22" s="43">
        <f t="shared" si="3"/>
        <v>309</v>
      </c>
      <c r="M22" s="43">
        <f t="shared" si="3"/>
        <v>0</v>
      </c>
      <c r="N22" s="348"/>
    </row>
    <row r="23" spans="1:14" s="7"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v>0</v>
      </c>
      <c r="F24" s="303">
        <f t="shared" ref="F24" si="4">SUM(G24:M24)</f>
        <v>0</v>
      </c>
      <c r="G24" s="304">
        <v>0</v>
      </c>
      <c r="H24" s="304">
        <v>0</v>
      </c>
      <c r="I24" s="304">
        <v>0</v>
      </c>
      <c r="J24" s="304">
        <v>0</v>
      </c>
      <c r="K24" s="304">
        <v>0</v>
      </c>
      <c r="L24" s="304">
        <v>0</v>
      </c>
      <c r="M24" s="305">
        <v>0</v>
      </c>
      <c r="N24" s="318"/>
    </row>
    <row r="25" spans="1:14">
      <c r="A25" s="259" t="s">
        <v>229</v>
      </c>
      <c r="B25" s="36"/>
      <c r="C25" s="44" t="s">
        <v>230</v>
      </c>
      <c r="D25" s="45"/>
      <c r="E25" s="258">
        <v>0</v>
      </c>
      <c r="F25" s="303">
        <f t="shared" ref="F25:F36" si="5">SUM(G25:M25)</f>
        <v>0</v>
      </c>
      <c r="G25" s="304">
        <v>0</v>
      </c>
      <c r="H25" s="304">
        <v>0</v>
      </c>
      <c r="I25" s="304">
        <v>0</v>
      </c>
      <c r="J25" s="304">
        <v>0</v>
      </c>
      <c r="K25" s="304">
        <v>0</v>
      </c>
      <c r="L25" s="304">
        <v>0</v>
      </c>
      <c r="M25" s="305">
        <v>0</v>
      </c>
      <c r="N25" s="348"/>
    </row>
    <row r="26" spans="1:14">
      <c r="A26" s="259" t="s">
        <v>231</v>
      </c>
      <c r="B26" s="36"/>
      <c r="C26" s="44" t="s">
        <v>232</v>
      </c>
      <c r="D26" s="45"/>
      <c r="E26" s="258">
        <v>0</v>
      </c>
      <c r="F26" s="303">
        <f t="shared" si="5"/>
        <v>0</v>
      </c>
      <c r="G26" s="304">
        <v>0</v>
      </c>
      <c r="H26" s="304">
        <v>0</v>
      </c>
      <c r="I26" s="304">
        <v>0</v>
      </c>
      <c r="J26" s="304">
        <v>0</v>
      </c>
      <c r="K26" s="304">
        <v>0</v>
      </c>
      <c r="L26" s="304">
        <v>0</v>
      </c>
      <c r="M26" s="305">
        <v>0</v>
      </c>
      <c r="N26" s="348"/>
    </row>
    <row r="27" spans="1:14">
      <c r="A27" s="259" t="s">
        <v>233</v>
      </c>
      <c r="B27" s="36"/>
      <c r="C27" s="44" t="s">
        <v>234</v>
      </c>
      <c r="D27" s="45"/>
      <c r="E27" s="258">
        <v>0</v>
      </c>
      <c r="F27" s="303">
        <f t="shared" si="5"/>
        <v>0</v>
      </c>
      <c r="G27" s="304">
        <v>0</v>
      </c>
      <c r="H27" s="304">
        <v>0</v>
      </c>
      <c r="I27" s="304">
        <v>0</v>
      </c>
      <c r="J27" s="304">
        <v>0</v>
      </c>
      <c r="K27" s="304">
        <v>0</v>
      </c>
      <c r="L27" s="304">
        <v>0</v>
      </c>
      <c r="M27" s="305">
        <v>0</v>
      </c>
      <c r="N27" s="348"/>
    </row>
    <row r="28" spans="1:14">
      <c r="A28" s="259" t="s">
        <v>235</v>
      </c>
      <c r="B28" s="36"/>
      <c r="C28" s="44">
        <v>251</v>
      </c>
      <c r="D28" s="45"/>
      <c r="E28" s="258">
        <v>0</v>
      </c>
      <c r="F28" s="303">
        <f t="shared" si="5"/>
        <v>0</v>
      </c>
      <c r="G28" s="304">
        <v>0</v>
      </c>
      <c r="H28" s="304">
        <v>0</v>
      </c>
      <c r="I28" s="304">
        <v>0</v>
      </c>
      <c r="J28" s="304">
        <v>0</v>
      </c>
      <c r="K28" s="304">
        <v>0</v>
      </c>
      <c r="L28" s="304">
        <v>0</v>
      </c>
      <c r="M28" s="305">
        <v>0</v>
      </c>
      <c r="N28" s="348"/>
    </row>
    <row r="29" spans="1:14">
      <c r="A29" s="259" t="s">
        <v>242</v>
      </c>
      <c r="B29" s="36"/>
      <c r="C29" s="44">
        <v>252</v>
      </c>
      <c r="D29" s="45"/>
      <c r="E29" s="258">
        <v>0</v>
      </c>
      <c r="F29" s="303">
        <f t="shared" si="5"/>
        <v>0</v>
      </c>
      <c r="G29" s="304">
        <v>0</v>
      </c>
      <c r="H29" s="304">
        <v>0</v>
      </c>
      <c r="I29" s="304">
        <v>0</v>
      </c>
      <c r="J29" s="304">
        <v>0</v>
      </c>
      <c r="K29" s="304">
        <v>0</v>
      </c>
      <c r="L29" s="304">
        <v>0</v>
      </c>
      <c r="M29" s="305">
        <v>0</v>
      </c>
      <c r="N29" s="348"/>
    </row>
    <row r="30" spans="1:14">
      <c r="A30" s="259" t="s">
        <v>243</v>
      </c>
      <c r="B30" s="36"/>
      <c r="C30" s="44">
        <v>252</v>
      </c>
      <c r="D30" s="45"/>
      <c r="E30" s="258">
        <v>0</v>
      </c>
      <c r="F30" s="303">
        <f t="shared" si="5"/>
        <v>0</v>
      </c>
      <c r="G30" s="304">
        <v>0</v>
      </c>
      <c r="H30" s="304">
        <v>0</v>
      </c>
      <c r="I30" s="304">
        <v>0</v>
      </c>
      <c r="J30" s="304">
        <v>0</v>
      </c>
      <c r="K30" s="304">
        <v>0</v>
      </c>
      <c r="L30" s="304">
        <v>0</v>
      </c>
      <c r="M30" s="305">
        <v>0</v>
      </c>
      <c r="N30" s="348"/>
    </row>
    <row r="31" spans="1:14">
      <c r="A31" s="71" t="s">
        <v>1198</v>
      </c>
      <c r="B31" s="36"/>
      <c r="C31" s="44">
        <v>253</v>
      </c>
      <c r="D31" s="259"/>
      <c r="E31" s="258">
        <v>5</v>
      </c>
      <c r="F31" s="303">
        <f t="shared" si="5"/>
        <v>28</v>
      </c>
      <c r="G31" s="304">
        <v>0</v>
      </c>
      <c r="H31" s="304">
        <v>28</v>
      </c>
      <c r="I31" s="304">
        <v>0</v>
      </c>
      <c r="J31" s="304">
        <v>0</v>
      </c>
      <c r="K31" s="304">
        <v>0</v>
      </c>
      <c r="L31" s="304">
        <v>0</v>
      </c>
      <c r="M31" s="305">
        <v>0</v>
      </c>
      <c r="N31" s="320" t="s">
        <v>1197</v>
      </c>
    </row>
    <row r="32" spans="1:14">
      <c r="A32" s="259" t="s">
        <v>245</v>
      </c>
      <c r="B32" s="36"/>
      <c r="C32" s="44">
        <v>255</v>
      </c>
      <c r="D32" s="259"/>
      <c r="E32" s="258">
        <v>0</v>
      </c>
      <c r="F32" s="303">
        <f t="shared" si="5"/>
        <v>0</v>
      </c>
      <c r="G32" s="304">
        <v>0</v>
      </c>
      <c r="H32" s="304">
        <v>0</v>
      </c>
      <c r="I32" s="304">
        <v>0</v>
      </c>
      <c r="J32" s="304">
        <v>0</v>
      </c>
      <c r="K32" s="304">
        <v>0</v>
      </c>
      <c r="L32" s="304">
        <v>0</v>
      </c>
      <c r="M32" s="305">
        <v>0</v>
      </c>
      <c r="N32" s="348"/>
    </row>
    <row r="33" spans="1:14">
      <c r="A33" s="259" t="s">
        <v>246</v>
      </c>
      <c r="B33" s="36"/>
      <c r="C33" s="44">
        <v>256</v>
      </c>
      <c r="D33" s="259"/>
      <c r="E33" s="258">
        <v>0</v>
      </c>
      <c r="F33" s="303">
        <f t="shared" si="5"/>
        <v>0</v>
      </c>
      <c r="G33" s="304">
        <v>0</v>
      </c>
      <c r="H33" s="304">
        <v>0</v>
      </c>
      <c r="I33" s="304">
        <v>0</v>
      </c>
      <c r="J33" s="304">
        <v>0</v>
      </c>
      <c r="K33" s="304">
        <v>0</v>
      </c>
      <c r="L33" s="304">
        <v>0</v>
      </c>
      <c r="M33" s="305">
        <v>0</v>
      </c>
      <c r="N33" s="348"/>
    </row>
    <row r="34" spans="1:14">
      <c r="A34" s="90" t="s">
        <v>247</v>
      </c>
      <c r="B34" s="36"/>
      <c r="C34" s="44">
        <v>257</v>
      </c>
      <c r="D34" s="259"/>
      <c r="E34" s="258">
        <v>0</v>
      </c>
      <c r="F34" s="303">
        <f t="shared" si="5"/>
        <v>0</v>
      </c>
      <c r="G34" s="304">
        <v>0</v>
      </c>
      <c r="H34" s="304">
        <v>0</v>
      </c>
      <c r="I34" s="304">
        <v>0</v>
      </c>
      <c r="J34" s="304">
        <v>0</v>
      </c>
      <c r="K34" s="304">
        <v>0</v>
      </c>
      <c r="L34" s="304">
        <v>0</v>
      </c>
      <c r="M34" s="305">
        <v>0</v>
      </c>
      <c r="N34" s="348"/>
    </row>
    <row r="35" spans="1:14">
      <c r="A35" s="259" t="s">
        <v>248</v>
      </c>
      <c r="B35" s="36"/>
      <c r="C35" s="44" t="s">
        <v>249</v>
      </c>
      <c r="D35" s="259"/>
      <c r="E35" s="258">
        <v>0</v>
      </c>
      <c r="F35" s="303">
        <f t="shared" si="5"/>
        <v>0</v>
      </c>
      <c r="G35" s="304">
        <v>0</v>
      </c>
      <c r="H35" s="304">
        <v>0</v>
      </c>
      <c r="I35" s="304">
        <v>0</v>
      </c>
      <c r="J35" s="304">
        <v>0</v>
      </c>
      <c r="K35" s="304">
        <v>0</v>
      </c>
      <c r="L35" s="304">
        <v>0</v>
      </c>
      <c r="M35" s="305">
        <v>0</v>
      </c>
      <c r="N35" s="348"/>
    </row>
    <row r="36" spans="1:14">
      <c r="A36" s="260" t="s">
        <v>250</v>
      </c>
      <c r="B36" s="36"/>
      <c r="C36" s="261" t="s">
        <v>251</v>
      </c>
      <c r="D36" s="260"/>
      <c r="E36" s="258">
        <v>0</v>
      </c>
      <c r="F36" s="303">
        <f t="shared" si="5"/>
        <v>0</v>
      </c>
      <c r="G36" s="304">
        <v>0</v>
      </c>
      <c r="H36" s="304">
        <v>0</v>
      </c>
      <c r="I36" s="304">
        <v>0</v>
      </c>
      <c r="J36" s="304">
        <v>0</v>
      </c>
      <c r="K36" s="304">
        <v>0</v>
      </c>
      <c r="L36" s="304">
        <v>0</v>
      </c>
      <c r="M36" s="305">
        <v>0</v>
      </c>
      <c r="N36" s="348"/>
    </row>
    <row r="37" spans="1:14">
      <c r="A37" s="40" t="s">
        <v>254</v>
      </c>
      <c r="B37" s="260"/>
      <c r="C37" s="261"/>
      <c r="D37" s="262"/>
      <c r="E37" s="42">
        <f>SUM(E24:E36)</f>
        <v>5</v>
      </c>
      <c r="F37" s="43">
        <f t="shared" ref="F37:M37" si="6">SUM(F24:F36)</f>
        <v>28</v>
      </c>
      <c r="G37" s="43">
        <f t="shared" si="6"/>
        <v>0</v>
      </c>
      <c r="H37" s="43">
        <f t="shared" si="6"/>
        <v>28</v>
      </c>
      <c r="I37" s="43">
        <f t="shared" si="6"/>
        <v>0</v>
      </c>
      <c r="J37" s="43">
        <f t="shared" si="6"/>
        <v>0</v>
      </c>
      <c r="K37" s="43">
        <f t="shared" si="6"/>
        <v>0</v>
      </c>
      <c r="L37" s="43">
        <f t="shared" si="6"/>
        <v>0</v>
      </c>
      <c r="M37" s="43">
        <f t="shared" si="6"/>
        <v>0</v>
      </c>
      <c r="N37" s="348"/>
    </row>
    <row r="38" spans="1:14" s="149" customFormat="1">
      <c r="A38" s="40" t="s">
        <v>255</v>
      </c>
      <c r="B38" s="51"/>
      <c r="C38" s="147"/>
      <c r="D38" s="262"/>
      <c r="E38" s="236"/>
      <c r="F38" s="235">
        <f>SUM(G38:M38)</f>
        <v>0</v>
      </c>
      <c r="G38" s="235"/>
      <c r="H38" s="235">
        <v>0</v>
      </c>
      <c r="I38" s="235"/>
      <c r="J38" s="235"/>
      <c r="K38" s="235"/>
      <c r="L38" s="235"/>
      <c r="M38" s="235"/>
      <c r="N38" s="348" t="s">
        <v>984</v>
      </c>
    </row>
    <row r="39" spans="1:14">
      <c r="A39" s="40" t="s">
        <v>256</v>
      </c>
      <c r="B39" s="46"/>
      <c r="C39" s="47"/>
      <c r="D39" s="48">
        <f>D37+D22+D15</f>
        <v>4.2</v>
      </c>
      <c r="E39" s="42">
        <f t="shared" ref="E39:M39" si="7">E37+E22+E15-E38</f>
        <v>922</v>
      </c>
      <c r="F39" s="17">
        <f t="shared" si="7"/>
        <v>996</v>
      </c>
      <c r="G39" s="17">
        <f t="shared" si="7"/>
        <v>0</v>
      </c>
      <c r="H39" s="17">
        <f t="shared" si="7"/>
        <v>687</v>
      </c>
      <c r="I39" s="17">
        <f t="shared" si="7"/>
        <v>0</v>
      </c>
      <c r="J39" s="17">
        <f t="shared" si="7"/>
        <v>0</v>
      </c>
      <c r="K39" s="17">
        <f t="shared" si="7"/>
        <v>0</v>
      </c>
      <c r="L39" s="17">
        <f t="shared" si="7"/>
        <v>309</v>
      </c>
      <c r="M39" s="17">
        <f t="shared" si="7"/>
        <v>0</v>
      </c>
      <c r="N39" s="346"/>
    </row>
    <row r="41" spans="1:14">
      <c r="A41" s="961" t="s">
        <v>390</v>
      </c>
      <c r="B41" s="962"/>
      <c r="C41" s="962"/>
      <c r="D41" s="962"/>
      <c r="E41" s="963"/>
      <c r="F41" s="303" t="s">
        <v>391</v>
      </c>
      <c r="G41" s="304" t="s">
        <v>0</v>
      </c>
      <c r="H41" s="304" t="s">
        <v>1</v>
      </c>
      <c r="I41" s="304" t="s">
        <v>2</v>
      </c>
      <c r="J41" s="304" t="s">
        <v>3</v>
      </c>
      <c r="K41" s="304" t="s">
        <v>4</v>
      </c>
      <c r="L41" s="304" t="s">
        <v>26</v>
      </c>
      <c r="M41" s="305"/>
      <c r="N41" s="348" t="s">
        <v>215</v>
      </c>
    </row>
    <row r="42" spans="1:14">
      <c r="A42" s="964" t="s">
        <v>440</v>
      </c>
      <c r="B42" s="965"/>
      <c r="C42" s="965"/>
      <c r="D42" s="966"/>
      <c r="E42" s="89"/>
      <c r="F42" s="86"/>
      <c r="G42" s="88"/>
      <c r="H42" s="88"/>
      <c r="I42" s="88"/>
      <c r="J42" s="88"/>
      <c r="K42" s="88"/>
      <c r="L42" s="88"/>
      <c r="M42" s="86"/>
      <c r="N42" s="87"/>
    </row>
    <row r="43" spans="1:14">
      <c r="A43" s="958" t="s">
        <v>983</v>
      </c>
      <c r="B43" s="959"/>
      <c r="C43" s="959"/>
      <c r="D43" s="960"/>
      <c r="E43" s="258"/>
      <c r="F43" s="303">
        <f>+F19</f>
        <v>239</v>
      </c>
      <c r="G43" s="304">
        <f>ROUND(((472/7000)*239),2)</f>
        <v>16.12</v>
      </c>
      <c r="H43" s="304">
        <f>ROUND(((4750/7000)*239),2)</f>
        <v>162.18</v>
      </c>
      <c r="I43" s="304">
        <f>ROUND(((875/7000)*239),2)</f>
        <v>29.88</v>
      </c>
      <c r="J43" s="304">
        <f>ROUND(((903/7000)*239),2)</f>
        <v>30.83</v>
      </c>
      <c r="K43" s="304"/>
      <c r="L43" s="304"/>
      <c r="M43" s="305">
        <f t="shared" ref="M43:M48" si="8">ROUND($F43*J$21,0)</f>
        <v>0</v>
      </c>
      <c r="N43" s="348" t="s">
        <v>441</v>
      </c>
    </row>
    <row r="44" spans="1:14" s="370" customFormat="1">
      <c r="A44" s="958" t="s">
        <v>448</v>
      </c>
      <c r="B44" s="959"/>
      <c r="C44" s="959"/>
      <c r="D44" s="960"/>
      <c r="E44" s="258"/>
      <c r="F44" s="303">
        <f>-F38</f>
        <v>0</v>
      </c>
      <c r="G44" s="304">
        <v>0</v>
      </c>
      <c r="H44" s="304">
        <v>0</v>
      </c>
      <c r="I44" s="304">
        <v>0</v>
      </c>
      <c r="J44" s="304">
        <v>0</v>
      </c>
      <c r="K44" s="304"/>
      <c r="L44" s="304"/>
      <c r="M44" s="305">
        <f t="shared" si="8"/>
        <v>0</v>
      </c>
      <c r="N44" s="348"/>
    </row>
    <row r="45" spans="1:14">
      <c r="A45" s="958" t="s">
        <v>442</v>
      </c>
      <c r="B45" s="959"/>
      <c r="C45" s="959"/>
      <c r="D45" s="960"/>
      <c r="E45" s="258"/>
      <c r="F45" s="303">
        <f>+F7</f>
        <v>491</v>
      </c>
      <c r="G45" s="304">
        <v>258</v>
      </c>
      <c r="H45" s="304">
        <v>0</v>
      </c>
      <c r="I45" s="304">
        <v>61</v>
      </c>
      <c r="J45" s="304">
        <v>171</v>
      </c>
      <c r="K45" s="304"/>
      <c r="L45" s="304"/>
      <c r="M45" s="305">
        <f t="shared" si="8"/>
        <v>0</v>
      </c>
      <c r="N45" s="348" t="s">
        <v>1199</v>
      </c>
    </row>
    <row r="46" spans="1:14">
      <c r="A46" s="958" t="s">
        <v>443</v>
      </c>
      <c r="B46" s="959"/>
      <c r="C46" s="959"/>
      <c r="D46" s="960"/>
      <c r="E46" s="258"/>
      <c r="F46" s="303">
        <f>+F8</f>
        <v>30</v>
      </c>
      <c r="G46" s="304">
        <v>0</v>
      </c>
      <c r="H46" s="304">
        <v>0</v>
      </c>
      <c r="I46" s="304">
        <v>0</v>
      </c>
      <c r="J46" s="304">
        <v>30</v>
      </c>
      <c r="K46" s="304"/>
      <c r="L46" s="304"/>
      <c r="M46" s="305">
        <f t="shared" si="8"/>
        <v>0</v>
      </c>
      <c r="N46" s="348"/>
    </row>
    <row r="47" spans="1:14" s="149" customFormat="1">
      <c r="A47" s="958" t="s">
        <v>444</v>
      </c>
      <c r="B47" s="959"/>
      <c r="C47" s="959"/>
      <c r="D47" s="960"/>
      <c r="E47" s="258"/>
      <c r="F47" s="303">
        <f>F31</f>
        <v>28</v>
      </c>
      <c r="G47" s="304">
        <v>0</v>
      </c>
      <c r="H47" s="304">
        <v>0</v>
      </c>
      <c r="I47" s="304">
        <v>0</v>
      </c>
      <c r="J47" s="304">
        <v>23</v>
      </c>
      <c r="K47" s="304">
        <v>5</v>
      </c>
      <c r="L47" s="304"/>
      <c r="M47" s="305">
        <f t="shared" si="8"/>
        <v>0</v>
      </c>
      <c r="N47" s="348" t="s">
        <v>1235</v>
      </c>
    </row>
    <row r="48" spans="1:14">
      <c r="A48" s="958" t="s">
        <v>445</v>
      </c>
      <c r="B48" s="959"/>
      <c r="C48" s="959"/>
      <c r="D48" s="960"/>
      <c r="E48" s="258"/>
      <c r="F48" s="303">
        <f>+F9</f>
        <v>138</v>
      </c>
      <c r="G48" s="304">
        <v>36</v>
      </c>
      <c r="H48" s="304">
        <v>0</v>
      </c>
      <c r="I48" s="304">
        <v>36</v>
      </c>
      <c r="J48" s="304">
        <v>67</v>
      </c>
      <c r="K48" s="304"/>
      <c r="L48" s="304"/>
      <c r="M48" s="305">
        <f t="shared" si="8"/>
        <v>0</v>
      </c>
      <c r="N48" s="348"/>
    </row>
    <row r="49" spans="1:14" s="370" customFormat="1">
      <c r="A49" s="393" t="s">
        <v>462</v>
      </c>
      <c r="B49" s="394"/>
      <c r="C49" s="394"/>
      <c r="D49" s="395"/>
      <c r="E49" s="396"/>
      <c r="F49" s="397">
        <f>+F17</f>
        <v>0</v>
      </c>
      <c r="G49" s="398">
        <v>0</v>
      </c>
      <c r="H49" s="398">
        <v>0</v>
      </c>
      <c r="I49" s="398">
        <v>0</v>
      </c>
      <c r="J49" s="398">
        <v>0</v>
      </c>
      <c r="K49" s="398">
        <f>+H17</f>
        <v>0</v>
      </c>
      <c r="L49" s="398"/>
      <c r="M49" s="399">
        <v>0</v>
      </c>
      <c r="N49" s="400"/>
    </row>
    <row r="50" spans="1:14" s="370" customFormat="1">
      <c r="A50" s="393" t="s">
        <v>446</v>
      </c>
      <c r="B50" s="394"/>
      <c r="C50" s="394"/>
      <c r="D50" s="395"/>
      <c r="E50" s="396"/>
      <c r="F50" s="397">
        <v>0</v>
      </c>
      <c r="G50" s="398">
        <v>0</v>
      </c>
      <c r="H50" s="398">
        <v>0</v>
      </c>
      <c r="I50" s="398">
        <v>0</v>
      </c>
      <c r="J50" s="398">
        <v>0</v>
      </c>
      <c r="K50" s="398">
        <f>+H18</f>
        <v>0</v>
      </c>
      <c r="L50" s="398"/>
      <c r="M50" s="399">
        <v>0</v>
      </c>
      <c r="N50" s="400"/>
    </row>
    <row r="51" spans="1:14" s="370" customFormat="1">
      <c r="A51" s="393" t="s">
        <v>447</v>
      </c>
      <c r="B51" s="394"/>
      <c r="C51" s="394"/>
      <c r="D51" s="395"/>
      <c r="E51" s="396"/>
      <c r="F51" s="397">
        <f>+F20</f>
        <v>70</v>
      </c>
      <c r="G51" s="398">
        <v>14</v>
      </c>
      <c r="H51" s="398">
        <v>40</v>
      </c>
      <c r="I51" s="398">
        <v>7</v>
      </c>
      <c r="J51" s="398">
        <v>9</v>
      </c>
      <c r="K51" s="398"/>
      <c r="L51" s="398"/>
      <c r="M51" s="399"/>
      <c r="N51" s="400"/>
    </row>
    <row r="52" spans="1:14" s="370" customFormat="1">
      <c r="A52" s="393" t="s">
        <v>448</v>
      </c>
      <c r="B52" s="394"/>
      <c r="C52" s="394"/>
      <c r="D52" s="395"/>
      <c r="E52" s="396"/>
      <c r="F52" s="397">
        <f>+K24</f>
        <v>0</v>
      </c>
      <c r="G52" s="398">
        <v>0</v>
      </c>
      <c r="H52" s="398">
        <v>0</v>
      </c>
      <c r="I52" s="398">
        <v>0</v>
      </c>
      <c r="J52" s="398">
        <v>0</v>
      </c>
      <c r="K52" s="398">
        <v>0</v>
      </c>
      <c r="L52" s="398"/>
      <c r="M52" s="399"/>
      <c r="N52" s="400"/>
    </row>
    <row r="53" spans="1:14" ht="15" thickBot="1">
      <c r="A53" s="955" t="s">
        <v>449</v>
      </c>
      <c r="B53" s="956"/>
      <c r="C53" s="956"/>
      <c r="D53" s="957"/>
      <c r="E53" s="209"/>
      <c r="F53" s="210">
        <f t="shared" ref="F53:L53" si="9">SUM(F43:F52)</f>
        <v>996</v>
      </c>
      <c r="G53" s="211">
        <f t="shared" si="9"/>
        <v>324.12</v>
      </c>
      <c r="H53" s="211">
        <f t="shared" si="9"/>
        <v>202.18</v>
      </c>
      <c r="I53" s="211">
        <f t="shared" si="9"/>
        <v>133.88</v>
      </c>
      <c r="J53" s="211">
        <f>SUM(J43:J52)</f>
        <v>330.83</v>
      </c>
      <c r="K53" s="211">
        <f t="shared" si="9"/>
        <v>5</v>
      </c>
      <c r="L53" s="211">
        <f t="shared" si="9"/>
        <v>0</v>
      </c>
      <c r="M53" s="212">
        <f>SUM(M43:M43)</f>
        <v>0</v>
      </c>
      <c r="N53" s="213"/>
    </row>
    <row r="54" spans="1:14">
      <c r="A54" s="952" t="s">
        <v>394</v>
      </c>
      <c r="B54" s="953"/>
      <c r="C54" s="953"/>
      <c r="D54" s="954"/>
      <c r="E54" s="76"/>
      <c r="F54" s="77"/>
      <c r="G54" s="78">
        <f>G39-G53</f>
        <v>-324.12</v>
      </c>
      <c r="H54" s="78">
        <f>H39-H53</f>
        <v>484.82</v>
      </c>
      <c r="I54" s="78">
        <f>-I53</f>
        <v>-133.88</v>
      </c>
      <c r="J54" s="78">
        <f>J39-J53</f>
        <v>-330.83</v>
      </c>
      <c r="K54" s="78">
        <f>K39-K53</f>
        <v>-5</v>
      </c>
      <c r="L54" s="78">
        <f>L39-L53</f>
        <v>309</v>
      </c>
      <c r="M54" s="79">
        <f>M39-M53</f>
        <v>0</v>
      </c>
      <c r="N54" s="80"/>
    </row>
    <row r="55" spans="1:14">
      <c r="A55" s="370"/>
      <c r="B55" s="370"/>
      <c r="C55" s="370"/>
      <c r="D55" s="370"/>
      <c r="E55" s="370"/>
      <c r="F55" s="370"/>
      <c r="G55" s="370"/>
      <c r="H55" s="370"/>
      <c r="I55" s="370"/>
      <c r="J55" s="370"/>
      <c r="K55" s="370"/>
      <c r="L55" s="370"/>
      <c r="M55" s="370"/>
      <c r="N55" s="370"/>
    </row>
    <row r="56" spans="1:14">
      <c r="G56" s="479"/>
      <c r="I56" s="479"/>
      <c r="J56" s="479"/>
    </row>
    <row r="57" spans="1:14" s="370" customFormat="1" ht="15" thickBot="1">
      <c r="A57" s="31"/>
      <c r="B57" s="31"/>
      <c r="C57" s="32"/>
      <c r="D57" s="31"/>
      <c r="E57" s="31"/>
      <c r="F57" s="31"/>
      <c r="G57" s="31"/>
      <c r="H57" s="31"/>
      <c r="I57" s="31"/>
      <c r="J57" s="31"/>
      <c r="K57" s="31"/>
      <c r="L57" s="31"/>
      <c r="M57" s="31"/>
      <c r="N57" s="536"/>
    </row>
    <row r="58" spans="1:14" s="370" customFormat="1" ht="15.5">
      <c r="A58" s="873" t="s">
        <v>257</v>
      </c>
      <c r="B58" s="874"/>
      <c r="C58" s="874"/>
      <c r="D58" s="874"/>
      <c r="E58" s="874"/>
      <c r="F58" s="874"/>
      <c r="G58" s="550"/>
      <c r="H58" s="31"/>
      <c r="I58" s="31"/>
      <c r="J58" s="31"/>
      <c r="K58" s="31"/>
      <c r="L58" s="31"/>
      <c r="M58" s="31"/>
      <c r="N58" s="536"/>
    </row>
    <row r="59" spans="1:14" s="370" customFormat="1" ht="15.5">
      <c r="A59" s="875"/>
      <c r="B59" s="876"/>
      <c r="C59" s="876"/>
      <c r="D59" s="876"/>
      <c r="E59" s="876"/>
      <c r="F59" s="876"/>
      <c r="G59" s="551"/>
      <c r="H59" s="31"/>
      <c r="I59" s="31"/>
      <c r="J59" s="31"/>
      <c r="K59" s="31"/>
      <c r="L59" s="31"/>
      <c r="M59" s="31"/>
      <c r="N59" s="536"/>
    </row>
    <row r="60" spans="1:14" s="370" customFormat="1">
      <c r="A60" s="877" t="s">
        <v>258</v>
      </c>
      <c r="B60" s="878"/>
      <c r="C60" s="552"/>
      <c r="D60" s="552"/>
      <c r="E60" s="552"/>
      <c r="F60" s="552"/>
      <c r="G60" s="551"/>
      <c r="H60" s="31"/>
      <c r="I60" s="31"/>
      <c r="J60" s="31"/>
      <c r="K60" s="31"/>
      <c r="L60" s="31"/>
      <c r="M60" s="31"/>
      <c r="N60" s="536"/>
    </row>
    <row r="61" spans="1:14" s="370" customFormat="1">
      <c r="A61" s="553" t="s">
        <v>1028</v>
      </c>
      <c r="B61" s="554">
        <f>E39</f>
        <v>922</v>
      </c>
      <c r="C61" s="555"/>
      <c r="D61" s="556"/>
      <c r="E61" s="556"/>
      <c r="F61" s="556"/>
      <c r="G61" s="551"/>
      <c r="H61" s="31"/>
      <c r="I61" s="31"/>
      <c r="J61" s="31"/>
      <c r="K61" s="31"/>
      <c r="L61" s="31"/>
      <c r="M61" s="31"/>
      <c r="N61" s="536"/>
    </row>
    <row r="62" spans="1:14" s="370" customFormat="1">
      <c r="A62" s="557" t="s">
        <v>1029</v>
      </c>
      <c r="B62" s="558">
        <f>F39</f>
        <v>996</v>
      </c>
      <c r="C62" s="555"/>
      <c r="D62" s="556"/>
      <c r="E62" s="556"/>
      <c r="F62" s="556"/>
      <c r="G62" s="551"/>
      <c r="H62" s="31"/>
      <c r="I62" s="31"/>
      <c r="J62" s="31"/>
      <c r="K62" s="31"/>
      <c r="L62" s="31"/>
      <c r="M62" s="31"/>
      <c r="N62" s="536"/>
    </row>
    <row r="63" spans="1:14" s="370" customFormat="1">
      <c r="A63" s="559" t="s">
        <v>259</v>
      </c>
      <c r="B63" s="560">
        <f>B62-B61</f>
        <v>74</v>
      </c>
      <c r="C63" s="555"/>
      <c r="D63" s="556"/>
      <c r="E63" s="556"/>
      <c r="F63" s="556"/>
      <c r="G63" s="551"/>
      <c r="H63" s="31"/>
      <c r="I63" s="31"/>
      <c r="J63" s="31"/>
      <c r="K63" s="31"/>
      <c r="L63" s="31"/>
      <c r="M63" s="31"/>
      <c r="N63" s="536"/>
    </row>
    <row r="64" spans="1:14" s="370" customFormat="1">
      <c r="A64" s="559" t="s">
        <v>260</v>
      </c>
      <c r="B64" s="561">
        <f>B63/B61</f>
        <v>8.0260303687635579E-2</v>
      </c>
      <c r="C64" s="555"/>
      <c r="D64" s="556"/>
      <c r="E64" s="556"/>
      <c r="F64" s="556"/>
      <c r="G64" s="551"/>
      <c r="H64" s="31"/>
      <c r="I64" s="31"/>
      <c r="J64" s="31"/>
      <c r="K64" s="31"/>
      <c r="L64" s="31"/>
      <c r="M64" s="31"/>
      <c r="N64" s="536"/>
    </row>
    <row r="65" spans="1:14" s="370" customFormat="1">
      <c r="A65" s="562"/>
      <c r="B65" s="556"/>
      <c r="C65" s="638"/>
      <c r="D65" s="556"/>
      <c r="E65" s="556"/>
      <c r="F65" s="556"/>
      <c r="G65" s="551"/>
      <c r="H65" s="31"/>
      <c r="I65" s="31"/>
      <c r="J65" s="31"/>
      <c r="K65" s="31"/>
      <c r="L65" s="31"/>
      <c r="M65" s="31"/>
      <c r="N65" s="536"/>
    </row>
    <row r="66" spans="1:14" s="370" customFormat="1">
      <c r="A66" s="967" t="s">
        <v>261</v>
      </c>
      <c r="B66" s="968"/>
      <c r="C66" s="968"/>
      <c r="D66" s="968"/>
      <c r="E66" s="968"/>
      <c r="F66" s="968"/>
      <c r="G66" s="551"/>
      <c r="H66" s="31"/>
      <c r="I66" s="31"/>
      <c r="J66" s="31"/>
      <c r="K66" s="31"/>
      <c r="L66" s="31"/>
      <c r="M66" s="31"/>
      <c r="N66" s="536"/>
    </row>
    <row r="67" spans="1:14" s="370" customFormat="1">
      <c r="A67" s="881" t="s">
        <v>450</v>
      </c>
      <c r="B67" s="882"/>
      <c r="C67" s="882"/>
      <c r="D67" s="882"/>
      <c r="E67" s="882"/>
      <c r="F67" s="883"/>
      <c r="G67" s="551"/>
      <c r="H67" s="31"/>
      <c r="I67" s="31"/>
      <c r="J67" s="31"/>
      <c r="K67" s="31"/>
      <c r="L67" s="31"/>
      <c r="M67" s="31"/>
      <c r="N67" s="536"/>
    </row>
    <row r="68" spans="1:14" s="370" customFormat="1">
      <c r="A68" s="563"/>
      <c r="B68" s="564"/>
      <c r="C68" s="564"/>
      <c r="D68" s="564"/>
      <c r="E68" s="564"/>
      <c r="F68" s="564"/>
      <c r="G68" s="551"/>
      <c r="H68" s="31"/>
      <c r="I68" s="31"/>
      <c r="J68" s="31"/>
      <c r="K68" s="31"/>
      <c r="L68" s="31"/>
      <c r="M68" s="31"/>
      <c r="N68" s="536"/>
    </row>
    <row r="69" spans="1:14" s="370" customFormat="1">
      <c r="A69" s="565" t="s">
        <v>262</v>
      </c>
      <c r="B69" s="556"/>
      <c r="C69" s="638"/>
      <c r="D69" s="556"/>
      <c r="E69" s="556"/>
      <c r="F69" s="556"/>
      <c r="G69" s="551"/>
      <c r="H69" s="31"/>
      <c r="I69" s="31"/>
      <c r="J69" s="31"/>
      <c r="K69" s="31"/>
      <c r="L69" s="31"/>
      <c r="M69" s="31"/>
      <c r="N69" s="536"/>
    </row>
    <row r="70" spans="1:14" s="370" customFormat="1" ht="44.75" customHeight="1">
      <c r="A70" s="881" t="s">
        <v>1200</v>
      </c>
      <c r="B70" s="882"/>
      <c r="C70" s="882"/>
      <c r="D70" s="882"/>
      <c r="E70" s="882"/>
      <c r="F70" s="883"/>
      <c r="G70" s="551"/>
      <c r="H70" s="31"/>
      <c r="I70" s="31"/>
      <c r="J70" s="31"/>
      <c r="K70" s="31"/>
      <c r="L70" s="31"/>
      <c r="M70" s="31"/>
      <c r="N70" s="536"/>
    </row>
    <row r="71" spans="1:14" s="370" customFormat="1">
      <c r="A71" s="562"/>
      <c r="B71" s="556"/>
      <c r="C71" s="638"/>
      <c r="D71" s="556"/>
      <c r="E71" s="556"/>
      <c r="F71" s="556"/>
      <c r="G71" s="551"/>
      <c r="H71" s="31"/>
      <c r="I71" s="31"/>
      <c r="J71" s="31"/>
      <c r="K71" s="31"/>
      <c r="L71" s="31"/>
      <c r="M71" s="31"/>
      <c r="N71" s="536"/>
    </row>
    <row r="72" spans="1:14" s="370" customFormat="1">
      <c r="A72" s="879" t="s">
        <v>1020</v>
      </c>
      <c r="B72" s="880"/>
      <c r="C72" s="880"/>
      <c r="D72" s="880"/>
      <c r="E72" s="880"/>
      <c r="F72" s="880"/>
      <c r="G72" s="551"/>
      <c r="H72" s="31"/>
      <c r="I72" s="31"/>
      <c r="J72" s="31"/>
      <c r="K72" s="31"/>
      <c r="L72" s="31"/>
      <c r="M72" s="31"/>
      <c r="N72" s="536"/>
    </row>
    <row r="73" spans="1:14" s="370" customFormat="1">
      <c r="A73" s="887" t="s">
        <v>1021</v>
      </c>
      <c r="B73" s="888"/>
      <c r="C73" s="888"/>
      <c r="D73" s="888"/>
      <c r="E73" s="888"/>
      <c r="F73" s="888"/>
      <c r="G73" s="551"/>
      <c r="H73" s="31"/>
      <c r="I73" s="31"/>
      <c r="J73" s="31"/>
      <c r="K73" s="31"/>
      <c r="L73" s="31"/>
      <c r="M73" s="31"/>
      <c r="N73" s="536"/>
    </row>
    <row r="74" spans="1:14" s="370" customFormat="1" ht="32.75" customHeight="1">
      <c r="A74" s="881" t="s">
        <v>451</v>
      </c>
      <c r="B74" s="882"/>
      <c r="C74" s="882"/>
      <c r="D74" s="882"/>
      <c r="E74" s="882"/>
      <c r="F74" s="883"/>
      <c r="G74" s="551"/>
      <c r="H74" s="31"/>
      <c r="I74" s="31"/>
      <c r="J74" s="31"/>
      <c r="K74" s="31"/>
      <c r="L74" s="31"/>
      <c r="M74" s="31"/>
      <c r="N74" s="536"/>
    </row>
    <row r="75" spans="1:14" s="370" customFormat="1">
      <c r="A75" s="565"/>
      <c r="B75" s="556"/>
      <c r="C75" s="638"/>
      <c r="D75" s="556"/>
      <c r="E75" s="556"/>
      <c r="F75" s="556"/>
      <c r="G75" s="551"/>
      <c r="H75" s="31"/>
      <c r="I75" s="31"/>
      <c r="J75" s="31"/>
      <c r="K75" s="31"/>
      <c r="L75" s="31"/>
      <c r="M75" s="31"/>
      <c r="N75" s="536"/>
    </row>
    <row r="76" spans="1:14" s="370" customFormat="1">
      <c r="A76" s="967" t="s">
        <v>264</v>
      </c>
      <c r="B76" s="968"/>
      <c r="C76" s="968"/>
      <c r="D76" s="968"/>
      <c r="E76" s="968"/>
      <c r="F76" s="556"/>
      <c r="G76" s="551"/>
      <c r="H76" s="31"/>
      <c r="I76" s="31"/>
      <c r="J76" s="31"/>
      <c r="K76" s="31"/>
      <c r="L76" s="31"/>
      <c r="M76" s="31"/>
      <c r="N76" s="536"/>
    </row>
    <row r="77" spans="1:14" s="370" customFormat="1">
      <c r="A77" s="889" t="s">
        <v>452</v>
      </c>
      <c r="B77" s="890"/>
      <c r="C77" s="890"/>
      <c r="D77" s="890"/>
      <c r="E77" s="890"/>
      <c r="F77" s="891"/>
      <c r="G77" s="551"/>
      <c r="H77" s="31"/>
      <c r="I77" s="31"/>
      <c r="J77" s="31"/>
      <c r="K77" s="31"/>
      <c r="L77" s="31"/>
      <c r="M77" s="31"/>
      <c r="N77" s="536"/>
    </row>
    <row r="78" spans="1:14" s="370" customFormat="1">
      <c r="A78" s="562"/>
      <c r="B78" s="556"/>
      <c r="C78" s="638"/>
      <c r="D78" s="556"/>
      <c r="E78" s="556"/>
      <c r="F78" s="556"/>
      <c r="G78" s="551"/>
      <c r="H78" s="31"/>
      <c r="I78" s="31"/>
      <c r="J78" s="31"/>
      <c r="K78" s="31"/>
      <c r="L78" s="31"/>
      <c r="M78" s="31"/>
      <c r="N78" s="536"/>
    </row>
    <row r="79" spans="1:14" s="370" customFormat="1">
      <c r="A79" s="565" t="s">
        <v>265</v>
      </c>
      <c r="B79" s="556"/>
      <c r="C79" s="638"/>
      <c r="D79" s="556"/>
      <c r="E79" s="556"/>
      <c r="F79" s="556"/>
      <c r="G79" s="551"/>
      <c r="H79" s="31"/>
      <c r="I79" s="31"/>
      <c r="J79" s="31"/>
      <c r="K79" s="31"/>
      <c r="L79" s="31"/>
      <c r="M79" s="31"/>
      <c r="N79" s="536"/>
    </row>
    <row r="80" spans="1:14" s="370" customFormat="1">
      <c r="A80" s="566" t="s">
        <v>266</v>
      </c>
      <c r="B80" s="556"/>
      <c r="C80" s="638"/>
      <c r="D80" s="556"/>
      <c r="E80" s="556"/>
      <c r="F80" s="556"/>
      <c r="G80" s="551"/>
      <c r="H80" s="31"/>
      <c r="I80" s="31"/>
      <c r="J80" s="31"/>
      <c r="K80" s="31"/>
      <c r="L80" s="31"/>
      <c r="M80" s="31"/>
      <c r="N80" s="536"/>
    </row>
    <row r="81" spans="1:14" s="370" customFormat="1" ht="26.25" customHeight="1">
      <c r="A81" s="892" t="s">
        <v>1030</v>
      </c>
      <c r="B81" s="893"/>
      <c r="C81" s="893"/>
      <c r="D81" s="893"/>
      <c r="E81" s="893"/>
      <c r="F81" s="893"/>
      <c r="G81" s="551"/>
      <c r="H81" s="31"/>
      <c r="I81" s="31"/>
      <c r="J81" s="31"/>
      <c r="K81" s="31"/>
      <c r="L81" s="31"/>
      <c r="M81" s="31"/>
      <c r="N81" s="536"/>
    </row>
    <row r="82" spans="1:14" s="370" customFormat="1" ht="66" customHeight="1">
      <c r="A82" s="881" t="s">
        <v>1201</v>
      </c>
      <c r="B82" s="882"/>
      <c r="C82" s="882"/>
      <c r="D82" s="882"/>
      <c r="E82" s="882"/>
      <c r="F82" s="883"/>
      <c r="G82" s="551"/>
      <c r="H82" s="31"/>
      <c r="I82" s="31"/>
      <c r="J82" s="31"/>
      <c r="K82" s="31"/>
      <c r="L82" s="31"/>
      <c r="M82" s="31"/>
      <c r="N82" s="536"/>
    </row>
    <row r="83" spans="1:14" s="370" customFormat="1">
      <c r="A83" s="969"/>
      <c r="B83" s="970"/>
      <c r="C83" s="970"/>
      <c r="D83" s="970"/>
      <c r="E83" s="970"/>
      <c r="F83" s="970"/>
      <c r="G83" s="551"/>
      <c r="H83" s="31"/>
      <c r="I83" s="31"/>
      <c r="J83" s="31"/>
      <c r="K83" s="31"/>
      <c r="L83" s="31"/>
      <c r="M83" s="31"/>
      <c r="N83" s="536"/>
    </row>
    <row r="84" spans="1:14" s="370" customFormat="1">
      <c r="A84" s="566" t="s">
        <v>268</v>
      </c>
      <c r="B84" s="556"/>
      <c r="C84" s="638"/>
      <c r="D84" s="556"/>
      <c r="E84" s="556"/>
      <c r="F84" s="556"/>
      <c r="G84" s="551"/>
      <c r="H84" s="31"/>
      <c r="I84" s="31"/>
      <c r="J84" s="31"/>
      <c r="K84" s="31"/>
      <c r="L84" s="31"/>
      <c r="M84" s="31"/>
      <c r="N84" s="536"/>
    </row>
    <row r="85" spans="1:14" s="370" customFormat="1" ht="28.75" customHeight="1">
      <c r="A85" s="896" t="s">
        <v>269</v>
      </c>
      <c r="B85" s="897"/>
      <c r="C85" s="897"/>
      <c r="D85" s="897"/>
      <c r="E85" s="897"/>
      <c r="F85" s="897"/>
      <c r="G85" s="551"/>
      <c r="H85" s="31"/>
      <c r="I85" s="31"/>
      <c r="J85" s="31"/>
      <c r="K85" s="31"/>
      <c r="L85" s="31"/>
      <c r="M85" s="31"/>
      <c r="N85" s="536"/>
    </row>
    <row r="86" spans="1:14" s="370" customFormat="1">
      <c r="A86" s="889" t="s">
        <v>452</v>
      </c>
      <c r="B86" s="890"/>
      <c r="C86" s="890"/>
      <c r="D86" s="890"/>
      <c r="E86" s="890"/>
      <c r="F86" s="891"/>
      <c r="G86" s="551"/>
      <c r="H86" s="31"/>
      <c r="I86" s="31"/>
      <c r="J86" s="31"/>
      <c r="K86" s="31"/>
      <c r="L86" s="31"/>
      <c r="M86" s="31"/>
      <c r="N86" s="536"/>
    </row>
    <row r="87" spans="1:14" s="370" customFormat="1" ht="15" thickBot="1">
      <c r="A87" s="567"/>
      <c r="B87" s="568"/>
      <c r="C87" s="569"/>
      <c r="D87" s="568"/>
      <c r="E87" s="568"/>
      <c r="F87" s="568"/>
      <c r="G87" s="570"/>
      <c r="H87" s="31"/>
      <c r="I87" s="31"/>
      <c r="J87" s="31"/>
      <c r="K87" s="31"/>
      <c r="L87" s="31"/>
      <c r="M87" s="31"/>
      <c r="N87" s="536"/>
    </row>
    <row r="88" spans="1:14" s="370" customFormat="1">
      <c r="A88" s="31"/>
      <c r="B88" s="31"/>
      <c r="C88" s="32"/>
      <c r="D88" s="31"/>
      <c r="E88" s="31"/>
      <c r="F88" s="31"/>
      <c r="G88" s="31"/>
      <c r="H88" s="31"/>
      <c r="I88" s="31"/>
      <c r="J88" s="31"/>
      <c r="K88" s="31"/>
      <c r="L88" s="31"/>
      <c r="M88" s="31"/>
      <c r="N88" s="536"/>
    </row>
    <row r="89" spans="1:14" s="370" customFormat="1">
      <c r="C89" s="639"/>
    </row>
    <row r="90" spans="1:14" s="370" customFormat="1">
      <c r="C90" s="639"/>
    </row>
    <row r="91" spans="1:14" s="370" customFormat="1">
      <c r="C91" s="639"/>
    </row>
    <row r="92" spans="1:14" s="370" customFormat="1">
      <c r="C92" s="639"/>
    </row>
    <row r="93" spans="1:14" s="370" customFormat="1">
      <c r="C93" s="639"/>
    </row>
    <row r="94" spans="1:14" s="370" customFormat="1">
      <c r="C94" s="639"/>
    </row>
    <row r="95" spans="1:14" s="370" customFormat="1">
      <c r="C95" s="639"/>
    </row>
    <row r="96" spans="1:14" s="370" customFormat="1">
      <c r="C96" s="639"/>
    </row>
  </sheetData>
  <mergeCells count="27">
    <mergeCell ref="A86:F86"/>
    <mergeCell ref="A77:F77"/>
    <mergeCell ref="A81:F81"/>
    <mergeCell ref="A82:F82"/>
    <mergeCell ref="A83:F83"/>
    <mergeCell ref="A85:F85"/>
    <mergeCell ref="A70:F70"/>
    <mergeCell ref="A72:F72"/>
    <mergeCell ref="A73:F73"/>
    <mergeCell ref="A74:F74"/>
    <mergeCell ref="A76:E76"/>
    <mergeCell ref="A58:F58"/>
    <mergeCell ref="A59:F59"/>
    <mergeCell ref="A60:B60"/>
    <mergeCell ref="A66:F66"/>
    <mergeCell ref="A67:F67"/>
    <mergeCell ref="A54:D54"/>
    <mergeCell ref="A53:D53"/>
    <mergeCell ref="A48:D48"/>
    <mergeCell ref="A43:D43"/>
    <mergeCell ref="A1:N1"/>
    <mergeCell ref="A41:E41"/>
    <mergeCell ref="A45:D45"/>
    <mergeCell ref="A46:D46"/>
    <mergeCell ref="A42:D42"/>
    <mergeCell ref="A47:D47"/>
    <mergeCell ref="A44:D44"/>
  </mergeCells>
  <printOptions horizontalCentered="1"/>
  <pageMargins left="0.2" right="0.2" top="0.75" bottom="0.75" header="0.3" footer="0.3"/>
  <pageSetup scale="67" orientation="landscape" r:id="rId1"/>
  <headerFooter>
    <oddHeader xml:space="preserve">&amp;CDRAFT NOT FOR DISTRIBUTION, INTERNAL USE ONLY
</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1:N77"/>
  <sheetViews>
    <sheetView zoomScale="70" zoomScaleNormal="70" workbookViewId="0">
      <selection sqref="A1:N1"/>
    </sheetView>
  </sheetViews>
  <sheetFormatPr defaultColWidth="9.1796875" defaultRowHeight="14.5"/>
  <cols>
    <col min="1" max="1" width="50.453125" style="370" customWidth="1"/>
    <col min="2" max="2" width="16" style="370" customWidth="1"/>
    <col min="3" max="3" width="7.7265625" style="455" customWidth="1"/>
    <col min="4" max="4" width="15.7265625" style="370" customWidth="1"/>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ustomWidth="1"/>
    <col min="14" max="14" width="52" style="370" bestFit="1" customWidth="1"/>
    <col min="15" max="16384" width="9.1796875" style="370"/>
  </cols>
  <sheetData>
    <row r="1" spans="1:14" ht="15.5">
      <c r="A1" s="854" t="s">
        <v>453</v>
      </c>
      <c r="B1" s="854"/>
      <c r="C1" s="854"/>
      <c r="D1" s="854"/>
      <c r="E1" s="854"/>
      <c r="F1" s="854"/>
      <c r="G1" s="854"/>
      <c r="H1" s="854"/>
      <c r="I1" s="854"/>
      <c r="J1" s="854"/>
      <c r="K1" s="854"/>
      <c r="L1" s="854"/>
      <c r="M1" s="854"/>
      <c r="N1" s="854"/>
    </row>
    <row r="2" spans="1:14">
      <c r="A2" s="702" t="s">
        <v>427</v>
      </c>
      <c r="C2" s="639"/>
    </row>
    <row r="3" spans="1:14">
      <c r="A3" s="506" t="s">
        <v>454</v>
      </c>
      <c r="C3" s="639"/>
      <c r="D3" s="29"/>
      <c r="E3" s="451" t="s">
        <v>210</v>
      </c>
      <c r="F3" s="442"/>
      <c r="G3" s="29"/>
    </row>
    <row r="4" spans="1:14">
      <c r="A4" s="506" t="s">
        <v>468</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30.25" customHeight="1">
      <c r="A7" s="36" t="s">
        <v>217</v>
      </c>
      <c r="B7" s="36"/>
      <c r="C7" s="37" t="s">
        <v>218</v>
      </c>
      <c r="D7" s="39"/>
      <c r="E7" s="258">
        <v>0</v>
      </c>
      <c r="F7" s="303">
        <f t="shared" ref="F7:F14" si="0">SUM(G7:M7)</f>
        <v>0</v>
      </c>
      <c r="G7" s="304">
        <v>0</v>
      </c>
      <c r="H7" s="304">
        <v>0</v>
      </c>
      <c r="I7" s="304">
        <v>0</v>
      </c>
      <c r="J7" s="304">
        <v>0</v>
      </c>
      <c r="K7" s="304">
        <v>0</v>
      </c>
      <c r="L7" s="304">
        <v>0</v>
      </c>
      <c r="M7" s="305">
        <v>0</v>
      </c>
      <c r="N7" s="318"/>
    </row>
    <row r="8" spans="1:14" ht="15" customHeight="1">
      <c r="A8" s="36" t="s">
        <v>217</v>
      </c>
      <c r="B8" s="36"/>
      <c r="C8" s="37" t="s">
        <v>218</v>
      </c>
      <c r="D8" s="39"/>
      <c r="E8" s="258">
        <v>0</v>
      </c>
      <c r="F8" s="303">
        <f t="shared" si="0"/>
        <v>0</v>
      </c>
      <c r="G8" s="304">
        <v>0</v>
      </c>
      <c r="H8" s="304">
        <v>0</v>
      </c>
      <c r="I8" s="304">
        <v>0</v>
      </c>
      <c r="J8" s="304">
        <v>0</v>
      </c>
      <c r="K8" s="304">
        <v>0</v>
      </c>
      <c r="L8" s="304">
        <v>0</v>
      </c>
      <c r="M8" s="305">
        <v>0</v>
      </c>
      <c r="N8" s="318"/>
    </row>
    <row r="9" spans="1:14">
      <c r="A9" s="36" t="s">
        <v>217</v>
      </c>
      <c r="B9" s="259"/>
      <c r="C9" s="37" t="s">
        <v>218</v>
      </c>
      <c r="D9" s="39"/>
      <c r="E9" s="258">
        <v>0</v>
      </c>
      <c r="F9" s="303">
        <f t="shared" si="0"/>
        <v>0</v>
      </c>
      <c r="G9" s="304">
        <v>0</v>
      </c>
      <c r="H9" s="304">
        <v>0</v>
      </c>
      <c r="I9" s="304">
        <v>0</v>
      </c>
      <c r="J9" s="304">
        <v>0</v>
      </c>
      <c r="K9" s="304">
        <v>0</v>
      </c>
      <c r="L9" s="304">
        <v>0</v>
      </c>
      <c r="M9" s="305">
        <v>0</v>
      </c>
      <c r="N9" s="31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20"/>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60"/>
      <c r="C14" s="37" t="s">
        <v>218</v>
      </c>
      <c r="D14" s="39"/>
      <c r="E14" s="258">
        <v>0</v>
      </c>
      <c r="F14" s="303">
        <f t="shared" si="0"/>
        <v>0</v>
      </c>
      <c r="G14" s="304">
        <v>0</v>
      </c>
      <c r="H14" s="304">
        <v>0</v>
      </c>
      <c r="I14" s="304">
        <v>0</v>
      </c>
      <c r="J14" s="304">
        <v>0</v>
      </c>
      <c r="K14" s="304">
        <v>0</v>
      </c>
      <c r="L14" s="304">
        <v>0</v>
      </c>
      <c r="M14" s="305">
        <v>0</v>
      </c>
      <c r="N14" s="348"/>
    </row>
    <row r="15" spans="1:14">
      <c r="A15" s="40" t="s">
        <v>219</v>
      </c>
      <c r="B15" s="260"/>
      <c r="C15" s="261"/>
      <c r="D15" s="41">
        <f t="shared" ref="D15:M15" si="1">SUM(D7:D14)</f>
        <v>0</v>
      </c>
      <c r="E15" s="42">
        <f t="shared" si="1"/>
        <v>0</v>
      </c>
      <c r="F15" s="43">
        <f t="shared" si="1"/>
        <v>0</v>
      </c>
      <c r="G15" s="43">
        <f t="shared" si="1"/>
        <v>0</v>
      </c>
      <c r="H15" s="43">
        <f t="shared" si="1"/>
        <v>0</v>
      </c>
      <c r="I15" s="43">
        <f t="shared" si="1"/>
        <v>0</v>
      </c>
      <c r="J15" s="43">
        <f t="shared" si="1"/>
        <v>0</v>
      </c>
      <c r="K15" s="43">
        <f t="shared" si="1"/>
        <v>0</v>
      </c>
      <c r="L15" s="43">
        <f t="shared" si="1"/>
        <v>0</v>
      </c>
      <c r="M15" s="43">
        <f t="shared" si="1"/>
        <v>0</v>
      </c>
      <c r="N15" s="249"/>
    </row>
    <row r="16" spans="1:14">
      <c r="A16" s="67" t="s">
        <v>220</v>
      </c>
      <c r="B16" s="68"/>
      <c r="C16" s="69"/>
      <c r="D16" s="68"/>
      <c r="E16" s="68"/>
      <c r="F16" s="70"/>
      <c r="G16" s="70"/>
      <c r="H16" s="70"/>
      <c r="I16" s="70"/>
      <c r="J16" s="70"/>
      <c r="K16" s="70"/>
      <c r="L16" s="70"/>
      <c r="M16" s="70"/>
      <c r="N16" s="70"/>
    </row>
    <row r="17" spans="1:14" ht="29">
      <c r="A17" s="259" t="s">
        <v>455</v>
      </c>
      <c r="B17" s="259" t="s">
        <v>293</v>
      </c>
      <c r="C17" s="44">
        <v>253</v>
      </c>
      <c r="D17" s="39"/>
      <c r="E17" s="258">
        <v>25</v>
      </c>
      <c r="F17" s="350">
        <f>SUM(G17:M17)</f>
        <v>25</v>
      </c>
      <c r="G17" s="304">
        <v>0</v>
      </c>
      <c r="H17" s="304">
        <v>0</v>
      </c>
      <c r="I17" s="304">
        <v>0</v>
      </c>
      <c r="J17" s="304">
        <v>0</v>
      </c>
      <c r="K17" s="304">
        <v>0</v>
      </c>
      <c r="L17" s="304">
        <v>25</v>
      </c>
      <c r="M17" s="305">
        <v>0</v>
      </c>
      <c r="N17" s="320" t="s">
        <v>917</v>
      </c>
    </row>
    <row r="18" spans="1:14" ht="362.5">
      <c r="A18" s="259" t="s">
        <v>456</v>
      </c>
      <c r="B18" s="259" t="s">
        <v>438</v>
      </c>
      <c r="C18" s="44">
        <v>253</v>
      </c>
      <c r="D18" s="45"/>
      <c r="E18" s="258">
        <v>25</v>
      </c>
      <c r="F18" s="350">
        <f>SUM(G18:M18)</f>
        <v>25</v>
      </c>
      <c r="G18" s="304">
        <v>0</v>
      </c>
      <c r="H18" s="304">
        <v>0</v>
      </c>
      <c r="I18" s="304">
        <v>0</v>
      </c>
      <c r="J18" s="304">
        <v>0</v>
      </c>
      <c r="K18" s="304">
        <v>0</v>
      </c>
      <c r="L18" s="304">
        <v>25</v>
      </c>
      <c r="M18" s="305">
        <v>0</v>
      </c>
      <c r="N18" s="521" t="s">
        <v>457</v>
      </c>
    </row>
    <row r="19" spans="1:14" ht="29">
      <c r="A19" s="259" t="s">
        <v>278</v>
      </c>
      <c r="B19" s="259" t="s">
        <v>435</v>
      </c>
      <c r="C19" s="44">
        <v>253</v>
      </c>
      <c r="D19" s="262"/>
      <c r="E19" s="258">
        <v>0</v>
      </c>
      <c r="F19" s="350">
        <f>SUM(G19:M19)</f>
        <v>0</v>
      </c>
      <c r="G19" s="304">
        <v>0</v>
      </c>
      <c r="H19" s="304">
        <v>0</v>
      </c>
      <c r="I19" s="304"/>
      <c r="J19" s="304">
        <v>0</v>
      </c>
      <c r="K19" s="304">
        <v>0</v>
      </c>
      <c r="L19" s="304">
        <v>0</v>
      </c>
      <c r="M19" s="305">
        <v>0</v>
      </c>
      <c r="N19" s="521" t="s">
        <v>436</v>
      </c>
    </row>
    <row r="20" spans="1:14" ht="58">
      <c r="A20" s="259" t="s">
        <v>980</v>
      </c>
      <c r="B20" s="259" t="s">
        <v>981</v>
      </c>
      <c r="C20" s="44">
        <v>253</v>
      </c>
      <c r="D20" s="262"/>
      <c r="E20" s="258">
        <v>238</v>
      </c>
      <c r="F20" s="350">
        <f>SUM(G20:M20)</f>
        <v>432</v>
      </c>
      <c r="G20" s="304">
        <v>0</v>
      </c>
      <c r="H20" s="304">
        <v>0</v>
      </c>
      <c r="I20" s="304">
        <v>0</v>
      </c>
      <c r="J20" s="304">
        <v>0</v>
      </c>
      <c r="K20" s="304">
        <v>0</v>
      </c>
      <c r="L20" s="304">
        <f>238+194</f>
        <v>432</v>
      </c>
      <c r="M20" s="305">
        <v>0</v>
      </c>
      <c r="N20" s="521" t="s">
        <v>1426</v>
      </c>
    </row>
    <row r="21" spans="1:14" s="351"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 t="shared" ref="D22:M22" si="2">SUM(D17:D21)</f>
        <v>0</v>
      </c>
      <c r="E22" s="42">
        <f t="shared" si="2"/>
        <v>288</v>
      </c>
      <c r="F22" s="43">
        <f t="shared" si="2"/>
        <v>482</v>
      </c>
      <c r="G22" s="43">
        <f t="shared" si="2"/>
        <v>0</v>
      </c>
      <c r="H22" s="43">
        <f t="shared" si="2"/>
        <v>0</v>
      </c>
      <c r="I22" s="43">
        <f t="shared" si="2"/>
        <v>0</v>
      </c>
      <c r="J22" s="43">
        <f t="shared" si="2"/>
        <v>0</v>
      </c>
      <c r="K22" s="43">
        <f t="shared" si="2"/>
        <v>0</v>
      </c>
      <c r="L22" s="43">
        <f t="shared" si="2"/>
        <v>482</v>
      </c>
      <c r="M22" s="43">
        <f t="shared" si="2"/>
        <v>0</v>
      </c>
      <c r="N22" s="348"/>
    </row>
    <row r="23" spans="1:14" s="351"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v>0</v>
      </c>
      <c r="F24" s="350">
        <f t="shared" ref="F24:F35" si="3">SUM(G24:M24)</f>
        <v>0</v>
      </c>
      <c r="G24" s="304">
        <v>0</v>
      </c>
      <c r="H24" s="304">
        <v>0</v>
      </c>
      <c r="I24" s="304">
        <v>0</v>
      </c>
      <c r="J24" s="304">
        <v>0</v>
      </c>
      <c r="K24" s="304">
        <v>0</v>
      </c>
      <c r="L24" s="304">
        <v>0</v>
      </c>
      <c r="M24" s="305">
        <v>0</v>
      </c>
      <c r="N24" s="318"/>
    </row>
    <row r="25" spans="1:14">
      <c r="A25" s="259" t="s">
        <v>229</v>
      </c>
      <c r="B25" s="36"/>
      <c r="C25" s="44" t="s">
        <v>230</v>
      </c>
      <c r="D25" s="45"/>
      <c r="E25" s="258">
        <v>0</v>
      </c>
      <c r="F25" s="350">
        <f t="shared" si="3"/>
        <v>0</v>
      </c>
      <c r="G25" s="304">
        <v>0</v>
      </c>
      <c r="H25" s="304">
        <v>0</v>
      </c>
      <c r="I25" s="304">
        <v>0</v>
      </c>
      <c r="J25" s="304">
        <v>0</v>
      </c>
      <c r="K25" s="304">
        <v>0</v>
      </c>
      <c r="L25" s="304">
        <v>0</v>
      </c>
      <c r="M25" s="305">
        <v>0</v>
      </c>
      <c r="N25" s="348"/>
    </row>
    <row r="26" spans="1:14">
      <c r="A26" s="259" t="s">
        <v>231</v>
      </c>
      <c r="B26" s="36"/>
      <c r="C26" s="44" t="s">
        <v>232</v>
      </c>
      <c r="D26" s="45"/>
      <c r="E26" s="258">
        <v>0</v>
      </c>
      <c r="F26" s="350">
        <f t="shared" si="3"/>
        <v>0</v>
      </c>
      <c r="G26" s="304">
        <v>0</v>
      </c>
      <c r="H26" s="304">
        <v>0</v>
      </c>
      <c r="I26" s="304">
        <v>0</v>
      </c>
      <c r="J26" s="304">
        <v>0</v>
      </c>
      <c r="K26" s="304">
        <v>0</v>
      </c>
      <c r="L26" s="304">
        <v>0</v>
      </c>
      <c r="M26" s="305">
        <v>0</v>
      </c>
      <c r="N26" s="348"/>
    </row>
    <row r="27" spans="1:14">
      <c r="A27" s="259" t="s">
        <v>233</v>
      </c>
      <c r="B27" s="36"/>
      <c r="C27" s="44" t="s">
        <v>234</v>
      </c>
      <c r="D27" s="45"/>
      <c r="E27" s="258">
        <v>0</v>
      </c>
      <c r="F27" s="350">
        <f t="shared" si="3"/>
        <v>0</v>
      </c>
      <c r="G27" s="304">
        <v>0</v>
      </c>
      <c r="H27" s="304">
        <v>0</v>
      </c>
      <c r="I27" s="304">
        <v>0</v>
      </c>
      <c r="J27" s="304">
        <v>0</v>
      </c>
      <c r="K27" s="304">
        <v>0</v>
      </c>
      <c r="L27" s="304">
        <v>0</v>
      </c>
      <c r="M27" s="305">
        <v>0</v>
      </c>
      <c r="N27" s="348"/>
    </row>
    <row r="28" spans="1:14">
      <c r="A28" s="259" t="s">
        <v>235</v>
      </c>
      <c r="B28" s="36"/>
      <c r="C28" s="44">
        <v>251</v>
      </c>
      <c r="D28" s="45"/>
      <c r="E28" s="258">
        <v>0</v>
      </c>
      <c r="F28" s="350">
        <f t="shared" si="3"/>
        <v>0</v>
      </c>
      <c r="G28" s="304">
        <v>0</v>
      </c>
      <c r="H28" s="304">
        <v>0</v>
      </c>
      <c r="I28" s="304">
        <v>0</v>
      </c>
      <c r="J28" s="304">
        <v>0</v>
      </c>
      <c r="K28" s="304">
        <v>0</v>
      </c>
      <c r="L28" s="304">
        <v>0</v>
      </c>
      <c r="M28" s="305">
        <v>0</v>
      </c>
      <c r="N28" s="348"/>
    </row>
    <row r="29" spans="1:14">
      <c r="A29" s="259" t="s">
        <v>242</v>
      </c>
      <c r="B29" s="36"/>
      <c r="C29" s="44">
        <v>252</v>
      </c>
      <c r="D29" s="45"/>
      <c r="E29" s="258">
        <v>0</v>
      </c>
      <c r="F29" s="350">
        <f t="shared" si="3"/>
        <v>0</v>
      </c>
      <c r="G29" s="304">
        <v>0</v>
      </c>
      <c r="H29" s="304">
        <v>0</v>
      </c>
      <c r="I29" s="304">
        <v>0</v>
      </c>
      <c r="J29" s="304">
        <v>0</v>
      </c>
      <c r="K29" s="304">
        <v>0</v>
      </c>
      <c r="L29" s="304">
        <v>0</v>
      </c>
      <c r="M29" s="305">
        <v>0</v>
      </c>
      <c r="N29" s="348"/>
    </row>
    <row r="30" spans="1:14">
      <c r="A30" s="259" t="s">
        <v>243</v>
      </c>
      <c r="B30" s="36"/>
      <c r="C30" s="44">
        <v>252</v>
      </c>
      <c r="D30" s="45"/>
      <c r="E30" s="258">
        <v>0</v>
      </c>
      <c r="F30" s="350">
        <f t="shared" si="3"/>
        <v>0</v>
      </c>
      <c r="G30" s="304">
        <v>0</v>
      </c>
      <c r="H30" s="304">
        <v>0</v>
      </c>
      <c r="I30" s="304">
        <v>0</v>
      </c>
      <c r="J30" s="304">
        <v>0</v>
      </c>
      <c r="K30" s="304">
        <v>0</v>
      </c>
      <c r="L30" s="304">
        <v>0</v>
      </c>
      <c r="M30" s="305">
        <v>0</v>
      </c>
      <c r="N30" s="348"/>
    </row>
    <row r="31" spans="1:14">
      <c r="A31" s="71" t="s">
        <v>458</v>
      </c>
      <c r="B31" s="36"/>
      <c r="C31" s="44">
        <v>253</v>
      </c>
      <c r="D31" s="259"/>
      <c r="E31" s="258">
        <v>0</v>
      </c>
      <c r="F31" s="350">
        <f t="shared" si="3"/>
        <v>0</v>
      </c>
      <c r="G31" s="304">
        <v>0</v>
      </c>
      <c r="H31" s="304">
        <v>0</v>
      </c>
      <c r="I31" s="304">
        <v>0</v>
      </c>
      <c r="J31" s="304">
        <v>0</v>
      </c>
      <c r="K31" s="304">
        <v>0</v>
      </c>
      <c r="L31" s="304">
        <v>0</v>
      </c>
      <c r="M31" s="305">
        <v>0</v>
      </c>
      <c r="N31" s="318"/>
    </row>
    <row r="32" spans="1:14">
      <c r="A32" s="259" t="s">
        <v>245</v>
      </c>
      <c r="B32" s="36"/>
      <c r="C32" s="44">
        <v>255</v>
      </c>
      <c r="D32" s="259"/>
      <c r="E32" s="258">
        <v>0</v>
      </c>
      <c r="F32" s="350">
        <f t="shared" si="3"/>
        <v>0</v>
      </c>
      <c r="G32" s="304">
        <v>0</v>
      </c>
      <c r="H32" s="304">
        <v>0</v>
      </c>
      <c r="I32" s="304">
        <v>0</v>
      </c>
      <c r="J32" s="304">
        <v>0</v>
      </c>
      <c r="K32" s="304">
        <v>0</v>
      </c>
      <c r="L32" s="304">
        <v>0</v>
      </c>
      <c r="M32" s="305">
        <v>0</v>
      </c>
      <c r="N32" s="348"/>
    </row>
    <row r="33" spans="1:14">
      <c r="A33" s="259" t="s">
        <v>246</v>
      </c>
      <c r="B33" s="36"/>
      <c r="C33" s="44">
        <v>256</v>
      </c>
      <c r="D33" s="259"/>
      <c r="E33" s="258">
        <v>0</v>
      </c>
      <c r="F33" s="350">
        <f t="shared" si="3"/>
        <v>0</v>
      </c>
      <c r="G33" s="304">
        <v>0</v>
      </c>
      <c r="H33" s="304">
        <v>0</v>
      </c>
      <c r="I33" s="304">
        <v>0</v>
      </c>
      <c r="J33" s="304">
        <v>0</v>
      </c>
      <c r="K33" s="304">
        <v>0</v>
      </c>
      <c r="L33" s="304">
        <v>0</v>
      </c>
      <c r="M33" s="305">
        <v>0</v>
      </c>
      <c r="N33" s="348"/>
    </row>
    <row r="34" spans="1:14">
      <c r="A34" s="259" t="s">
        <v>247</v>
      </c>
      <c r="B34" s="36"/>
      <c r="C34" s="44">
        <v>257</v>
      </c>
      <c r="D34" s="259"/>
      <c r="E34" s="258">
        <v>0</v>
      </c>
      <c r="F34" s="350">
        <f t="shared" si="3"/>
        <v>0</v>
      </c>
      <c r="G34" s="304">
        <v>0</v>
      </c>
      <c r="H34" s="304">
        <v>0</v>
      </c>
      <c r="I34" s="304">
        <v>0</v>
      </c>
      <c r="J34" s="304">
        <v>0</v>
      </c>
      <c r="K34" s="304">
        <v>0</v>
      </c>
      <c r="L34" s="304">
        <v>0</v>
      </c>
      <c r="M34" s="305">
        <v>0</v>
      </c>
      <c r="N34" s="348"/>
    </row>
    <row r="35" spans="1:14">
      <c r="A35" s="259" t="s">
        <v>248</v>
      </c>
      <c r="B35" s="36"/>
      <c r="C35" s="44" t="s">
        <v>249</v>
      </c>
      <c r="D35" s="259"/>
      <c r="E35" s="258">
        <v>0</v>
      </c>
      <c r="F35" s="350">
        <f t="shared" si="3"/>
        <v>0</v>
      </c>
      <c r="G35" s="304">
        <v>0</v>
      </c>
      <c r="H35" s="304">
        <v>0</v>
      </c>
      <c r="I35" s="304">
        <v>0</v>
      </c>
      <c r="J35" s="304">
        <v>0</v>
      </c>
      <c r="K35" s="304">
        <v>0</v>
      </c>
      <c r="L35" s="304">
        <v>0</v>
      </c>
      <c r="M35" s="305">
        <v>0</v>
      </c>
      <c r="N35" s="348"/>
    </row>
    <row r="36" spans="1:14">
      <c r="A36" s="260" t="s">
        <v>250</v>
      </c>
      <c r="B36" s="371"/>
      <c r="C36" s="261" t="s">
        <v>251</v>
      </c>
      <c r="D36" s="260"/>
      <c r="E36" s="258">
        <v>0</v>
      </c>
      <c r="F36" s="303">
        <f>SUM(G36:M36)</f>
        <v>0</v>
      </c>
      <c r="G36" s="304">
        <v>0</v>
      </c>
      <c r="H36" s="304">
        <v>0</v>
      </c>
      <c r="I36" s="304">
        <v>0</v>
      </c>
      <c r="J36" s="304">
        <v>0</v>
      </c>
      <c r="K36" s="304">
        <v>0</v>
      </c>
      <c r="L36" s="304">
        <v>0</v>
      </c>
      <c r="M36" s="305">
        <v>0</v>
      </c>
      <c r="N36" s="348"/>
    </row>
    <row r="37" spans="1:14">
      <c r="A37" s="40" t="s">
        <v>254</v>
      </c>
      <c r="B37" s="260"/>
      <c r="C37" s="261"/>
      <c r="D37" s="262"/>
      <c r="E37" s="42">
        <f>SUM(E24:E36)</f>
        <v>0</v>
      </c>
      <c r="F37" s="43">
        <f t="shared" ref="F37:M37" si="4">SUM(F24:F36)</f>
        <v>0</v>
      </c>
      <c r="G37" s="43">
        <f t="shared" si="4"/>
        <v>0</v>
      </c>
      <c r="H37" s="43">
        <f t="shared" si="4"/>
        <v>0</v>
      </c>
      <c r="I37" s="43">
        <f t="shared" si="4"/>
        <v>0</v>
      </c>
      <c r="J37" s="43">
        <f t="shared" si="4"/>
        <v>0</v>
      </c>
      <c r="K37" s="43">
        <f t="shared" si="4"/>
        <v>0</v>
      </c>
      <c r="L37" s="43">
        <f t="shared" si="4"/>
        <v>0</v>
      </c>
      <c r="M37" s="43">
        <f t="shared" si="4"/>
        <v>0</v>
      </c>
      <c r="N37" s="348"/>
    </row>
    <row r="38" spans="1:14">
      <c r="A38" s="40" t="s">
        <v>255</v>
      </c>
      <c r="B38" s="51"/>
      <c r="C38" s="147"/>
      <c r="D38" s="262"/>
      <c r="E38" s="236"/>
      <c r="F38" s="235">
        <f>SUM(G38:M38)</f>
        <v>194</v>
      </c>
      <c r="G38" s="235"/>
      <c r="H38" s="235">
        <v>0</v>
      </c>
      <c r="I38" s="235"/>
      <c r="J38" s="235"/>
      <c r="K38" s="235"/>
      <c r="L38" s="235">
        <v>194</v>
      </c>
      <c r="M38" s="235"/>
      <c r="N38" s="348" t="s">
        <v>984</v>
      </c>
    </row>
    <row r="39" spans="1:14">
      <c r="A39" s="40" t="s">
        <v>256</v>
      </c>
      <c r="B39" s="46"/>
      <c r="C39" s="47"/>
      <c r="D39" s="48">
        <f>D37+D22+D15</f>
        <v>0</v>
      </c>
      <c r="E39" s="42">
        <f t="shared" ref="E39:M39" si="5">E37+E22+E15-E38</f>
        <v>288</v>
      </c>
      <c r="F39" s="17">
        <f t="shared" si="5"/>
        <v>288</v>
      </c>
      <c r="G39" s="17">
        <f t="shared" si="5"/>
        <v>0</v>
      </c>
      <c r="H39" s="17">
        <f t="shared" si="5"/>
        <v>0</v>
      </c>
      <c r="I39" s="17">
        <f t="shared" si="5"/>
        <v>0</v>
      </c>
      <c r="J39" s="17">
        <f t="shared" si="5"/>
        <v>0</v>
      </c>
      <c r="K39" s="17">
        <f t="shared" si="5"/>
        <v>0</v>
      </c>
      <c r="L39" s="17">
        <f t="shared" si="5"/>
        <v>288</v>
      </c>
      <c r="M39" s="17">
        <f t="shared" si="5"/>
        <v>0</v>
      </c>
      <c r="N39" s="346"/>
    </row>
    <row r="41" spans="1:14" ht="29">
      <c r="A41" s="961" t="s">
        <v>390</v>
      </c>
      <c r="B41" s="962"/>
      <c r="C41" s="962"/>
      <c r="D41" s="962"/>
      <c r="E41" s="963"/>
      <c r="F41" s="292" t="s">
        <v>391</v>
      </c>
      <c r="G41" s="304" t="s">
        <v>0</v>
      </c>
      <c r="H41" s="304" t="s">
        <v>1</v>
      </c>
      <c r="I41" s="304" t="s">
        <v>2</v>
      </c>
      <c r="J41" s="304" t="s">
        <v>3</v>
      </c>
      <c r="K41" s="304" t="s">
        <v>4</v>
      </c>
      <c r="L41" s="304" t="s">
        <v>26</v>
      </c>
      <c r="M41" s="305"/>
      <c r="N41" s="348" t="s">
        <v>215</v>
      </c>
    </row>
    <row r="42" spans="1:14">
      <c r="A42" s="964" t="s">
        <v>459</v>
      </c>
      <c r="B42" s="965"/>
      <c r="C42" s="965"/>
      <c r="D42" s="966"/>
      <c r="E42" s="89"/>
      <c r="F42" s="86"/>
      <c r="G42" s="88"/>
      <c r="H42" s="88"/>
      <c r="I42" s="88"/>
      <c r="J42" s="88"/>
      <c r="K42" s="88"/>
      <c r="L42" s="88"/>
      <c r="M42" s="86"/>
      <c r="N42" s="87"/>
    </row>
    <row r="43" spans="1:14">
      <c r="A43" s="958" t="s">
        <v>460</v>
      </c>
      <c r="B43" s="959"/>
      <c r="C43" s="959"/>
      <c r="D43" s="960"/>
      <c r="E43" s="258"/>
      <c r="F43" s="303">
        <f>+F17</f>
        <v>25</v>
      </c>
      <c r="G43" s="304">
        <f>+F43</f>
        <v>25</v>
      </c>
      <c r="H43" s="304">
        <v>0</v>
      </c>
      <c r="I43" s="304">
        <v>0</v>
      </c>
      <c r="J43" s="304">
        <v>0</v>
      </c>
      <c r="K43" s="304"/>
      <c r="L43" s="304"/>
      <c r="M43" s="305">
        <f>ROUND($F43*J$21,0)</f>
        <v>0</v>
      </c>
      <c r="N43" s="348"/>
    </row>
    <row r="44" spans="1:14">
      <c r="A44" s="958" t="s">
        <v>461</v>
      </c>
      <c r="B44" s="959"/>
      <c r="C44" s="959"/>
      <c r="D44" s="960"/>
      <c r="E44" s="258"/>
      <c r="F44" s="303">
        <f>F18</f>
        <v>25</v>
      </c>
      <c r="G44" s="304">
        <v>5</v>
      </c>
      <c r="H44" s="304">
        <v>10</v>
      </c>
      <c r="I44" s="304">
        <v>5</v>
      </c>
      <c r="J44" s="304">
        <v>5</v>
      </c>
      <c r="K44" s="304"/>
      <c r="L44" s="304"/>
      <c r="M44" s="305">
        <f>ROUND($F44*J$21,0)</f>
        <v>0</v>
      </c>
      <c r="N44" s="348"/>
    </row>
    <row r="45" spans="1:14">
      <c r="A45" s="958" t="s">
        <v>983</v>
      </c>
      <c r="B45" s="959"/>
      <c r="C45" s="959"/>
      <c r="D45" s="960"/>
      <c r="E45" s="258"/>
      <c r="F45" s="303">
        <f>+F20-F38</f>
        <v>238</v>
      </c>
      <c r="G45" s="304">
        <f>ROUND(((3857/22000)*238),2)</f>
        <v>41.73</v>
      </c>
      <c r="H45" s="304">
        <f>ROUND(((8699/22000)*238),2)</f>
        <v>94.11</v>
      </c>
      <c r="I45" s="304">
        <f>ROUND(((5721/22000)*238),2)</f>
        <v>61.89</v>
      </c>
      <c r="J45" s="304">
        <f>ROUND(((3723/22000)*238),2)</f>
        <v>40.28</v>
      </c>
      <c r="K45" s="304"/>
      <c r="L45" s="304"/>
      <c r="M45" s="305">
        <f>ROUND($F45*J$21,0)</f>
        <v>0</v>
      </c>
      <c r="N45" s="348" t="s">
        <v>441</v>
      </c>
    </row>
    <row r="46" spans="1:14">
      <c r="A46" s="958" t="s">
        <v>448</v>
      </c>
      <c r="B46" s="959"/>
      <c r="C46" s="959"/>
      <c r="D46" s="960"/>
      <c r="E46" s="258"/>
      <c r="F46" s="303"/>
      <c r="G46" s="304">
        <v>0</v>
      </c>
      <c r="H46" s="304">
        <v>0</v>
      </c>
      <c r="I46" s="304">
        <v>0</v>
      </c>
      <c r="J46" s="304">
        <v>0</v>
      </c>
      <c r="K46" s="304"/>
      <c r="L46" s="304"/>
      <c r="M46" s="305"/>
      <c r="N46" s="348"/>
    </row>
    <row r="47" spans="1:14">
      <c r="A47" s="958" t="s">
        <v>448</v>
      </c>
      <c r="B47" s="959"/>
      <c r="C47" s="959"/>
      <c r="D47" s="960"/>
      <c r="E47" s="258"/>
      <c r="F47" s="303">
        <f>-K38</f>
        <v>0</v>
      </c>
      <c r="G47" s="304">
        <v>0</v>
      </c>
      <c r="H47" s="304">
        <v>0</v>
      </c>
      <c r="I47" s="304">
        <v>0</v>
      </c>
      <c r="J47" s="304">
        <v>0</v>
      </c>
      <c r="K47" s="304">
        <v>0</v>
      </c>
      <c r="L47" s="304"/>
      <c r="M47" s="305">
        <f>ROUND($F47*J$21,0)</f>
        <v>0</v>
      </c>
      <c r="N47" s="348"/>
    </row>
    <row r="48" spans="1:14">
      <c r="A48" s="958" t="s">
        <v>462</v>
      </c>
      <c r="B48" s="959"/>
      <c r="C48" s="959"/>
      <c r="D48" s="960"/>
      <c r="E48" s="258"/>
      <c r="F48" s="303">
        <f>F10</f>
        <v>0</v>
      </c>
      <c r="G48" s="304">
        <v>0</v>
      </c>
      <c r="H48" s="304">
        <v>0</v>
      </c>
      <c r="I48" s="304">
        <v>0</v>
      </c>
      <c r="J48" s="304">
        <v>0</v>
      </c>
      <c r="K48" s="304"/>
      <c r="L48" s="304"/>
      <c r="M48" s="305">
        <f>ROUND($F48*J$21,0)</f>
        <v>0</v>
      </c>
      <c r="N48" s="348"/>
    </row>
    <row r="49" spans="1:14">
      <c r="A49" s="393" t="s">
        <v>462</v>
      </c>
      <c r="B49" s="394"/>
      <c r="C49" s="394"/>
      <c r="D49" s="395"/>
      <c r="E49" s="396"/>
      <c r="F49" s="397">
        <v>0</v>
      </c>
      <c r="G49" s="398">
        <v>0</v>
      </c>
      <c r="H49" s="398">
        <v>0</v>
      </c>
      <c r="I49" s="398">
        <v>0</v>
      </c>
      <c r="J49" s="398">
        <v>0</v>
      </c>
      <c r="K49" s="398">
        <f>+H17</f>
        <v>0</v>
      </c>
      <c r="L49" s="398"/>
      <c r="M49" s="399">
        <v>0</v>
      </c>
      <c r="N49" s="400"/>
    </row>
    <row r="50" spans="1:14" ht="15" thickBot="1">
      <c r="A50" s="955" t="s">
        <v>463</v>
      </c>
      <c r="B50" s="956"/>
      <c r="C50" s="956"/>
      <c r="D50" s="957"/>
      <c r="E50" s="209"/>
      <c r="F50" s="210">
        <f t="shared" ref="F50:K50" si="6">SUM(F43:F49)</f>
        <v>288</v>
      </c>
      <c r="G50" s="211">
        <f t="shared" si="6"/>
        <v>71.72999999999999</v>
      </c>
      <c r="H50" s="211">
        <f t="shared" si="6"/>
        <v>104.11</v>
      </c>
      <c r="I50" s="211">
        <f t="shared" si="6"/>
        <v>66.89</v>
      </c>
      <c r="J50" s="211">
        <f t="shared" si="6"/>
        <v>45.28</v>
      </c>
      <c r="K50" s="211">
        <f t="shared" si="6"/>
        <v>0</v>
      </c>
      <c r="L50" s="211">
        <f>SUM(L43:L48)</f>
        <v>0</v>
      </c>
      <c r="M50" s="212">
        <f>SUM(M43:M43)</f>
        <v>0</v>
      </c>
      <c r="N50" s="213"/>
    </row>
    <row r="51" spans="1:14">
      <c r="A51" s="952" t="s">
        <v>394</v>
      </c>
      <c r="B51" s="953"/>
      <c r="C51" s="953"/>
      <c r="D51" s="954"/>
      <c r="E51" s="76"/>
      <c r="F51" s="77"/>
      <c r="G51" s="78">
        <f>G39-G50</f>
        <v>-71.72999999999999</v>
      </c>
      <c r="H51" s="78">
        <f>H39-H50</f>
        <v>-104.11</v>
      </c>
      <c r="I51" s="78">
        <f>+I39-I50</f>
        <v>-66.89</v>
      </c>
      <c r="J51" s="78">
        <f>J39-J50</f>
        <v>-45.28</v>
      </c>
      <c r="K51" s="78">
        <f>K39-K50</f>
        <v>0</v>
      </c>
      <c r="L51" s="78">
        <f>L39-L50</f>
        <v>288</v>
      </c>
      <c r="M51" s="79">
        <f>M39-M50</f>
        <v>0</v>
      </c>
      <c r="N51" s="80"/>
    </row>
    <row r="52" spans="1:14">
      <c r="C52" s="370"/>
    </row>
    <row r="71" spans="3:3">
      <c r="C71" s="370"/>
    </row>
    <row r="76" spans="3:3" ht="25.5" customHeight="1">
      <c r="C76" s="370"/>
    </row>
    <row r="77" spans="3:3">
      <c r="C77" s="370"/>
    </row>
  </sheetData>
  <mergeCells count="11">
    <mergeCell ref="A47:D47"/>
    <mergeCell ref="A48:D48"/>
    <mergeCell ref="A50:D50"/>
    <mergeCell ref="A51:D51"/>
    <mergeCell ref="A1:N1"/>
    <mergeCell ref="A41:E41"/>
    <mergeCell ref="A42:D42"/>
    <mergeCell ref="A43:D43"/>
    <mergeCell ref="A44:D44"/>
    <mergeCell ref="A45:D45"/>
    <mergeCell ref="A46:D4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pageSetUpPr fitToPage="1"/>
  </sheetPr>
  <dimension ref="A1:N262"/>
  <sheetViews>
    <sheetView zoomScaleNormal="100" workbookViewId="0">
      <selection sqref="A1:N1"/>
    </sheetView>
  </sheetViews>
  <sheetFormatPr defaultRowHeight="14.5"/>
  <cols>
    <col min="1" max="1" width="48.26953125" customWidth="1"/>
    <col min="2" max="2" width="16" customWidth="1"/>
    <col min="3" max="3" width="7.7265625" style="30" customWidth="1"/>
    <col min="4" max="4" width="15.7265625" customWidth="1"/>
    <col min="5" max="5" width="10.7265625" customWidth="1"/>
    <col min="6" max="6" width="11" customWidth="1"/>
    <col min="7" max="7" width="9.54296875" customWidth="1"/>
    <col min="8" max="8" width="8.453125" customWidth="1"/>
    <col min="9" max="9" width="8.6328125" bestFit="1" customWidth="1"/>
    <col min="10" max="10" width="8" bestFit="1" customWidth="1"/>
    <col min="11" max="11" width="7.7265625" customWidth="1"/>
    <col min="12" max="12" width="9.7265625" customWidth="1"/>
    <col min="13" max="13" width="9.1796875" customWidth="1"/>
    <col min="14" max="14" width="36.7265625" customWidth="1"/>
  </cols>
  <sheetData>
    <row r="1" spans="1:14" ht="15.5">
      <c r="A1" s="854" t="s">
        <v>377</v>
      </c>
      <c r="B1" s="854"/>
      <c r="C1" s="854"/>
      <c r="D1" s="854"/>
      <c r="E1" s="854"/>
      <c r="F1" s="854"/>
      <c r="G1" s="854"/>
      <c r="H1" s="854"/>
      <c r="I1" s="854"/>
      <c r="J1" s="854"/>
      <c r="K1" s="854"/>
      <c r="L1" s="854"/>
      <c r="M1" s="854"/>
      <c r="N1" s="854"/>
    </row>
    <row r="2" spans="1:14">
      <c r="A2" s="702" t="s">
        <v>464</v>
      </c>
      <c r="B2" s="370"/>
      <c r="C2" s="639"/>
      <c r="D2" s="370"/>
      <c r="E2" s="370"/>
      <c r="F2" s="370"/>
      <c r="G2" s="370"/>
      <c r="H2" s="370"/>
      <c r="I2" s="370"/>
      <c r="J2" s="370"/>
      <c r="K2" s="370"/>
      <c r="L2" s="370"/>
      <c r="M2" s="370"/>
      <c r="N2" s="370"/>
    </row>
    <row r="3" spans="1:14">
      <c r="A3" s="506" t="s">
        <v>428</v>
      </c>
      <c r="B3" s="370"/>
      <c r="C3" s="639"/>
      <c r="D3" s="29"/>
      <c r="E3" s="451" t="s">
        <v>210</v>
      </c>
      <c r="F3" s="29"/>
      <c r="G3" s="370"/>
      <c r="H3" s="370"/>
      <c r="I3" s="370"/>
      <c r="J3" s="370"/>
      <c r="K3" s="370"/>
      <c r="L3" s="370"/>
      <c r="M3" s="370"/>
      <c r="N3" s="370"/>
    </row>
    <row r="4" spans="1:14">
      <c r="A4" s="506" t="s">
        <v>429</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30.25" customHeight="1">
      <c r="A7" s="36" t="s">
        <v>217</v>
      </c>
      <c r="B7" s="36"/>
      <c r="C7" s="37" t="s">
        <v>218</v>
      </c>
      <c r="D7" s="38"/>
      <c r="E7" s="258">
        <v>0</v>
      </c>
      <c r="F7" s="303">
        <f t="shared" ref="F7:F10" si="0">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si="0"/>
        <v>0</v>
      </c>
      <c r="G8" s="304">
        <v>0</v>
      </c>
      <c r="H8" s="304">
        <v>0</v>
      </c>
      <c r="I8" s="304">
        <v>0</v>
      </c>
      <c r="J8" s="304">
        <v>0</v>
      </c>
      <c r="K8" s="304">
        <v>0</v>
      </c>
      <c r="L8" s="304">
        <v>0</v>
      </c>
      <c r="M8" s="305">
        <v>0</v>
      </c>
      <c r="N8" s="348"/>
    </row>
    <row r="9" spans="1:14" ht="28.7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SUM(G11:M11)</f>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SUM(G12:M12)</f>
        <v>0</v>
      </c>
      <c r="G12" s="304">
        <v>0</v>
      </c>
      <c r="H12" s="304">
        <v>0</v>
      </c>
      <c r="I12" s="304">
        <v>0</v>
      </c>
      <c r="J12" s="304">
        <v>0</v>
      </c>
      <c r="K12" s="304">
        <v>0</v>
      </c>
      <c r="L12" s="304">
        <v>0</v>
      </c>
      <c r="M12" s="305">
        <v>0</v>
      </c>
      <c r="N12" s="348"/>
    </row>
    <row r="13" spans="1:14">
      <c r="A13" s="36" t="s">
        <v>217</v>
      </c>
      <c r="B13" s="259"/>
      <c r="C13" s="37" t="s">
        <v>218</v>
      </c>
      <c r="D13" s="39"/>
      <c r="E13" s="258">
        <v>0</v>
      </c>
      <c r="F13" s="303">
        <f>SUM(G13:M13)</f>
        <v>0</v>
      </c>
      <c r="G13" s="304">
        <v>0</v>
      </c>
      <c r="H13" s="304">
        <v>0</v>
      </c>
      <c r="I13" s="304">
        <v>0</v>
      </c>
      <c r="J13" s="304">
        <v>0</v>
      </c>
      <c r="K13" s="304">
        <v>0</v>
      </c>
      <c r="L13" s="304">
        <v>0</v>
      </c>
      <c r="M13" s="305">
        <v>0</v>
      </c>
      <c r="N13" s="348"/>
    </row>
    <row r="14" spans="1:14">
      <c r="A14" s="36" t="s">
        <v>217</v>
      </c>
      <c r="B14" s="259"/>
      <c r="C14" s="37" t="s">
        <v>218</v>
      </c>
      <c r="D14" s="39"/>
      <c r="E14" s="258">
        <v>0</v>
      </c>
      <c r="F14" s="303">
        <f>SUM(G14:M14)</f>
        <v>0</v>
      </c>
      <c r="G14" s="304">
        <v>0</v>
      </c>
      <c r="H14" s="304">
        <v>0</v>
      </c>
      <c r="I14" s="304">
        <v>0</v>
      </c>
      <c r="J14" s="304">
        <v>0</v>
      </c>
      <c r="K14" s="304">
        <v>0</v>
      </c>
      <c r="L14" s="304">
        <v>0</v>
      </c>
      <c r="M14" s="305">
        <v>0</v>
      </c>
      <c r="N14" s="348"/>
    </row>
    <row r="15" spans="1:14">
      <c r="A15" s="36" t="s">
        <v>217</v>
      </c>
      <c r="B15" s="260"/>
      <c r="C15" s="37" t="s">
        <v>218</v>
      </c>
      <c r="D15" s="39"/>
      <c r="E15" s="258">
        <v>0</v>
      </c>
      <c r="F15" s="303">
        <f>SUM(G15:M15)</f>
        <v>0</v>
      </c>
      <c r="G15" s="304">
        <v>0</v>
      </c>
      <c r="H15" s="304">
        <v>0</v>
      </c>
      <c r="I15" s="304">
        <v>0</v>
      </c>
      <c r="J15" s="304">
        <v>0</v>
      </c>
      <c r="K15" s="304">
        <v>0</v>
      </c>
      <c r="L15" s="304">
        <v>0</v>
      </c>
      <c r="M15" s="305">
        <v>0</v>
      </c>
      <c r="N15" s="348"/>
    </row>
    <row r="16" spans="1:14">
      <c r="A16" s="40" t="s">
        <v>219</v>
      </c>
      <c r="B16" s="260"/>
      <c r="C16" s="261"/>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249"/>
    </row>
    <row r="17" spans="1:14">
      <c r="A17" s="67" t="s">
        <v>220</v>
      </c>
      <c r="B17" s="68"/>
      <c r="C17" s="69"/>
      <c r="D17" s="68"/>
      <c r="E17" s="68"/>
      <c r="F17" s="70"/>
      <c r="G17" s="70"/>
      <c r="H17" s="70"/>
      <c r="I17" s="70"/>
      <c r="J17" s="70"/>
      <c r="K17" s="70"/>
      <c r="L17" s="70"/>
      <c r="M17" s="70"/>
      <c r="N17" s="70"/>
    </row>
    <row r="18" spans="1:14" ht="43.5">
      <c r="A18" s="259" t="s">
        <v>278</v>
      </c>
      <c r="B18" s="259"/>
      <c r="C18" s="44">
        <v>253</v>
      </c>
      <c r="D18" s="45"/>
      <c r="E18" s="258">
        <v>538</v>
      </c>
      <c r="F18" s="350">
        <f>SUM(G18:M18)</f>
        <v>610</v>
      </c>
      <c r="G18" s="304">
        <v>0</v>
      </c>
      <c r="H18" s="304">
        <v>610</v>
      </c>
      <c r="I18" s="304">
        <v>0</v>
      </c>
      <c r="J18" s="304">
        <v>0</v>
      </c>
      <c r="K18" s="304">
        <v>0</v>
      </c>
      <c r="L18" s="304">
        <v>0</v>
      </c>
      <c r="M18" s="305">
        <v>0</v>
      </c>
      <c r="N18" s="318" t="s">
        <v>1231</v>
      </c>
    </row>
    <row r="19" spans="1:14" ht="29">
      <c r="A19" s="259" t="s">
        <v>278</v>
      </c>
      <c r="B19" s="259"/>
      <c r="C19" s="44">
        <v>253</v>
      </c>
      <c r="D19" s="45"/>
      <c r="E19" s="258">
        <v>100</v>
      </c>
      <c r="F19" s="350">
        <f>SUM(G19:M19)</f>
        <v>0</v>
      </c>
      <c r="G19" s="304">
        <v>0</v>
      </c>
      <c r="H19" s="304">
        <v>0</v>
      </c>
      <c r="I19" s="304">
        <v>0</v>
      </c>
      <c r="J19" s="304">
        <v>0</v>
      </c>
      <c r="K19" s="304">
        <v>0</v>
      </c>
      <c r="L19" s="304">
        <v>0</v>
      </c>
      <c r="M19" s="305">
        <v>0</v>
      </c>
      <c r="N19" s="318" t="s">
        <v>1232</v>
      </c>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7"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SUM(D18:D21)</f>
        <v>0</v>
      </c>
      <c r="E22" s="43">
        <f>SUM(E18:E21)</f>
        <v>638</v>
      </c>
      <c r="F22" s="43">
        <f>SUM(F18:F21)</f>
        <v>610</v>
      </c>
      <c r="G22" s="43">
        <f t="shared" ref="G22:M22" si="2">SUM(G18:G21)</f>
        <v>0</v>
      </c>
      <c r="H22" s="43">
        <f t="shared" si="2"/>
        <v>610</v>
      </c>
      <c r="I22" s="43">
        <f t="shared" si="2"/>
        <v>0</v>
      </c>
      <c r="J22" s="43">
        <f t="shared" si="2"/>
        <v>0</v>
      </c>
      <c r="K22" s="43">
        <f t="shared" si="2"/>
        <v>0</v>
      </c>
      <c r="L22" s="43">
        <f t="shared" si="2"/>
        <v>0</v>
      </c>
      <c r="M22" s="43">
        <f t="shared" si="2"/>
        <v>0</v>
      </c>
      <c r="N22" s="348"/>
    </row>
    <row r="23" spans="1:14" s="7" customFormat="1">
      <c r="A23" s="125" t="s">
        <v>226</v>
      </c>
      <c r="B23" s="126"/>
      <c r="C23" s="126"/>
      <c r="D23" s="126"/>
      <c r="E23" s="87"/>
      <c r="F23" s="87"/>
      <c r="G23" s="87"/>
      <c r="H23" s="87"/>
      <c r="I23" s="87"/>
      <c r="J23" s="87"/>
      <c r="K23" s="87"/>
      <c r="L23" s="87"/>
      <c r="M23" s="87"/>
      <c r="N23" s="128"/>
    </row>
    <row r="24" spans="1:14" ht="15" customHeight="1">
      <c r="A24" s="259" t="s">
        <v>227</v>
      </c>
      <c r="B24" s="36" t="s">
        <v>406</v>
      </c>
      <c r="C24" s="37" t="s">
        <v>228</v>
      </c>
      <c r="D24" s="38">
        <v>0</v>
      </c>
      <c r="E24" s="258">
        <v>0</v>
      </c>
      <c r="F24" s="350">
        <f t="shared" ref="F24:F36" si="3">SUM(G24:M24)</f>
        <v>0</v>
      </c>
      <c r="G24" s="304">
        <v>0</v>
      </c>
      <c r="H24" s="304">
        <v>0</v>
      </c>
      <c r="I24" s="304">
        <v>0</v>
      </c>
      <c r="J24" s="304">
        <v>0</v>
      </c>
      <c r="K24" s="304">
        <v>0</v>
      </c>
      <c r="L24" s="304">
        <v>0</v>
      </c>
      <c r="M24" s="305">
        <v>0</v>
      </c>
      <c r="N24" s="318"/>
    </row>
    <row r="25" spans="1:14">
      <c r="A25" s="259" t="s">
        <v>229</v>
      </c>
      <c r="B25" s="36"/>
      <c r="C25" s="44" t="s">
        <v>230</v>
      </c>
      <c r="D25" s="45"/>
      <c r="E25" s="258">
        <v>0</v>
      </c>
      <c r="F25" s="350">
        <f t="shared" si="3"/>
        <v>0</v>
      </c>
      <c r="G25" s="304">
        <v>0</v>
      </c>
      <c r="H25" s="304">
        <v>0</v>
      </c>
      <c r="I25" s="304">
        <v>0</v>
      </c>
      <c r="J25" s="304">
        <v>0</v>
      </c>
      <c r="K25" s="304">
        <v>0</v>
      </c>
      <c r="L25" s="304">
        <v>0</v>
      </c>
      <c r="M25" s="305">
        <v>0</v>
      </c>
      <c r="N25" s="348"/>
    </row>
    <row r="26" spans="1:14">
      <c r="A26" s="259" t="s">
        <v>231</v>
      </c>
      <c r="B26" s="36"/>
      <c r="C26" s="44" t="s">
        <v>232</v>
      </c>
      <c r="D26" s="45"/>
      <c r="E26" s="258">
        <v>0</v>
      </c>
      <c r="F26" s="350">
        <f t="shared" si="3"/>
        <v>0</v>
      </c>
      <c r="G26" s="304">
        <v>0</v>
      </c>
      <c r="H26" s="304">
        <v>0</v>
      </c>
      <c r="I26" s="304">
        <v>0</v>
      </c>
      <c r="J26" s="304">
        <v>0</v>
      </c>
      <c r="K26" s="304">
        <v>0</v>
      </c>
      <c r="L26" s="304">
        <v>0</v>
      </c>
      <c r="M26" s="305">
        <v>0</v>
      </c>
      <c r="N26" s="348"/>
    </row>
    <row r="27" spans="1:14">
      <c r="A27" s="259" t="s">
        <v>233</v>
      </c>
      <c r="B27" s="36"/>
      <c r="C27" s="44" t="s">
        <v>234</v>
      </c>
      <c r="D27" s="45"/>
      <c r="E27" s="258">
        <v>0</v>
      </c>
      <c r="F27" s="350">
        <f t="shared" si="3"/>
        <v>0</v>
      </c>
      <c r="G27" s="304">
        <v>0</v>
      </c>
      <c r="H27" s="304">
        <v>0</v>
      </c>
      <c r="I27" s="304">
        <v>0</v>
      </c>
      <c r="J27" s="304">
        <v>0</v>
      </c>
      <c r="K27" s="304">
        <v>0</v>
      </c>
      <c r="L27" s="304">
        <v>0</v>
      </c>
      <c r="M27" s="305">
        <v>0</v>
      </c>
      <c r="N27" s="348"/>
    </row>
    <row r="28" spans="1:14">
      <c r="A28" s="259" t="s">
        <v>235</v>
      </c>
      <c r="B28" s="36"/>
      <c r="C28" s="44">
        <v>251</v>
      </c>
      <c r="D28" s="45"/>
      <c r="E28" s="258">
        <v>0</v>
      </c>
      <c r="F28" s="350">
        <f t="shared" si="3"/>
        <v>0</v>
      </c>
      <c r="G28" s="304">
        <v>0</v>
      </c>
      <c r="H28" s="304">
        <v>0</v>
      </c>
      <c r="I28" s="304">
        <v>0</v>
      </c>
      <c r="J28" s="304">
        <v>0</v>
      </c>
      <c r="K28" s="304">
        <v>0</v>
      </c>
      <c r="L28" s="304">
        <v>0</v>
      </c>
      <c r="M28" s="305">
        <v>0</v>
      </c>
      <c r="N28" s="348"/>
    </row>
    <row r="29" spans="1:14">
      <c r="A29" s="259" t="s">
        <v>242</v>
      </c>
      <c r="B29" s="36"/>
      <c r="C29" s="44">
        <v>252</v>
      </c>
      <c r="D29" s="45"/>
      <c r="E29" s="258">
        <v>0</v>
      </c>
      <c r="F29" s="350">
        <f t="shared" si="3"/>
        <v>0</v>
      </c>
      <c r="G29" s="304">
        <v>0</v>
      </c>
      <c r="H29" s="304">
        <v>0</v>
      </c>
      <c r="I29" s="304">
        <v>0</v>
      </c>
      <c r="J29" s="304">
        <v>0</v>
      </c>
      <c r="K29" s="304">
        <v>0</v>
      </c>
      <c r="L29" s="304">
        <v>0</v>
      </c>
      <c r="M29" s="305">
        <v>0</v>
      </c>
      <c r="N29" s="348"/>
    </row>
    <row r="30" spans="1:14">
      <c r="A30" s="259" t="s">
        <v>243</v>
      </c>
      <c r="B30" s="36" t="s">
        <v>406</v>
      </c>
      <c r="C30" s="44">
        <v>252</v>
      </c>
      <c r="D30" s="45"/>
      <c r="E30" s="258">
        <v>0</v>
      </c>
      <c r="F30" s="350">
        <f t="shared" si="3"/>
        <v>0</v>
      </c>
      <c r="G30" s="304">
        <v>0</v>
      </c>
      <c r="H30" s="304">
        <v>0</v>
      </c>
      <c r="I30" s="304">
        <v>0</v>
      </c>
      <c r="J30" s="304">
        <v>0</v>
      </c>
      <c r="K30" s="304">
        <v>0</v>
      </c>
      <c r="L30" s="304">
        <v>0</v>
      </c>
      <c r="M30" s="305">
        <v>0</v>
      </c>
      <c r="N30" s="348"/>
    </row>
    <row r="31" spans="1:14">
      <c r="A31" s="259" t="s">
        <v>244</v>
      </c>
      <c r="B31" s="36"/>
      <c r="C31" s="44">
        <v>253</v>
      </c>
      <c r="D31" s="259"/>
      <c r="E31" s="258">
        <v>0</v>
      </c>
      <c r="F31" s="350">
        <f t="shared" si="3"/>
        <v>0</v>
      </c>
      <c r="G31" s="304">
        <v>0</v>
      </c>
      <c r="H31" s="304">
        <v>0</v>
      </c>
      <c r="I31" s="304">
        <v>0</v>
      </c>
      <c r="J31" s="304">
        <v>0</v>
      </c>
      <c r="K31" s="304">
        <v>0</v>
      </c>
      <c r="L31" s="304">
        <v>0</v>
      </c>
      <c r="M31" s="305">
        <v>0</v>
      </c>
      <c r="N31" s="348"/>
    </row>
    <row r="32" spans="1:14">
      <c r="A32" s="259" t="s">
        <v>245</v>
      </c>
      <c r="B32" s="36"/>
      <c r="C32" s="44">
        <v>255</v>
      </c>
      <c r="D32" s="259"/>
      <c r="E32" s="258">
        <v>0</v>
      </c>
      <c r="F32" s="350">
        <f t="shared" si="3"/>
        <v>0</v>
      </c>
      <c r="G32" s="304">
        <v>0</v>
      </c>
      <c r="H32" s="304">
        <v>0</v>
      </c>
      <c r="I32" s="304">
        <v>0</v>
      </c>
      <c r="J32" s="304">
        <v>0</v>
      </c>
      <c r="K32" s="304">
        <v>0</v>
      </c>
      <c r="L32" s="304">
        <v>0</v>
      </c>
      <c r="M32" s="305">
        <v>0</v>
      </c>
      <c r="N32" s="348"/>
    </row>
    <row r="33" spans="1:14">
      <c r="A33" s="259" t="s">
        <v>246</v>
      </c>
      <c r="B33" s="36"/>
      <c r="C33" s="44">
        <v>256</v>
      </c>
      <c r="D33" s="259"/>
      <c r="E33" s="258">
        <v>0</v>
      </c>
      <c r="F33" s="350">
        <f t="shared" si="3"/>
        <v>0</v>
      </c>
      <c r="G33" s="304">
        <v>0</v>
      </c>
      <c r="H33" s="304">
        <v>0</v>
      </c>
      <c r="I33" s="304">
        <v>0</v>
      </c>
      <c r="J33" s="304">
        <v>0</v>
      </c>
      <c r="K33" s="304">
        <v>0</v>
      </c>
      <c r="L33" s="304">
        <v>0</v>
      </c>
      <c r="M33" s="305">
        <v>0</v>
      </c>
      <c r="N33" s="348"/>
    </row>
    <row r="34" spans="1:14">
      <c r="A34" s="259" t="s">
        <v>247</v>
      </c>
      <c r="B34" s="36"/>
      <c r="C34" s="44">
        <v>257</v>
      </c>
      <c r="D34" s="259"/>
      <c r="E34" s="258">
        <v>0</v>
      </c>
      <c r="F34" s="350">
        <f t="shared" si="3"/>
        <v>0</v>
      </c>
      <c r="G34" s="304">
        <v>0</v>
      </c>
      <c r="H34" s="304">
        <v>0</v>
      </c>
      <c r="I34" s="304">
        <v>0</v>
      </c>
      <c r="J34" s="304">
        <v>0</v>
      </c>
      <c r="K34" s="304">
        <v>0</v>
      </c>
      <c r="L34" s="304">
        <v>0</v>
      </c>
      <c r="M34" s="305">
        <v>0</v>
      </c>
      <c r="N34" s="348"/>
    </row>
    <row r="35" spans="1:14">
      <c r="A35" s="259" t="s">
        <v>248</v>
      </c>
      <c r="B35" s="36"/>
      <c r="C35" s="44" t="s">
        <v>249</v>
      </c>
      <c r="D35" s="259"/>
      <c r="E35" s="258">
        <v>0</v>
      </c>
      <c r="F35" s="350">
        <f t="shared" si="3"/>
        <v>0</v>
      </c>
      <c r="G35" s="304">
        <v>0</v>
      </c>
      <c r="H35" s="304">
        <v>0</v>
      </c>
      <c r="I35" s="304">
        <v>0</v>
      </c>
      <c r="J35" s="304">
        <v>0</v>
      </c>
      <c r="K35" s="304">
        <v>0</v>
      </c>
      <c r="L35" s="304">
        <v>0</v>
      </c>
      <c r="M35" s="305">
        <v>0</v>
      </c>
      <c r="N35" s="348"/>
    </row>
    <row r="36" spans="1:14">
      <c r="A36" s="260" t="s">
        <v>250</v>
      </c>
      <c r="B36" s="36"/>
      <c r="C36" s="261" t="s">
        <v>251</v>
      </c>
      <c r="D36" s="260"/>
      <c r="E36" s="258">
        <v>0</v>
      </c>
      <c r="F36" s="350">
        <f t="shared" si="3"/>
        <v>0</v>
      </c>
      <c r="G36" s="304">
        <v>0</v>
      </c>
      <c r="H36" s="304">
        <v>0</v>
      </c>
      <c r="I36" s="304">
        <v>0</v>
      </c>
      <c r="J36" s="304">
        <v>0</v>
      </c>
      <c r="K36" s="304">
        <v>0</v>
      </c>
      <c r="L36" s="304">
        <v>0</v>
      </c>
      <c r="M36" s="305">
        <v>0</v>
      </c>
      <c r="N36" s="348"/>
    </row>
    <row r="37" spans="1:14">
      <c r="A37" s="40" t="s">
        <v>254</v>
      </c>
      <c r="B37" s="260"/>
      <c r="C37" s="261"/>
      <c r="D37" s="262"/>
      <c r="E37" s="42">
        <v>0</v>
      </c>
      <c r="F37" s="43">
        <f t="shared" ref="F37:M37" si="4">SUM(F24:F36)</f>
        <v>0</v>
      </c>
      <c r="G37" s="43">
        <f t="shared" si="4"/>
        <v>0</v>
      </c>
      <c r="H37" s="43">
        <f t="shared" si="4"/>
        <v>0</v>
      </c>
      <c r="I37" s="43">
        <f t="shared" si="4"/>
        <v>0</v>
      </c>
      <c r="J37" s="43">
        <f t="shared" si="4"/>
        <v>0</v>
      </c>
      <c r="K37" s="43">
        <f t="shared" si="4"/>
        <v>0</v>
      </c>
      <c r="L37" s="43">
        <f t="shared" si="4"/>
        <v>0</v>
      </c>
      <c r="M37" s="43">
        <f t="shared" si="4"/>
        <v>0</v>
      </c>
      <c r="N37" s="348"/>
    </row>
    <row r="38" spans="1:14" s="149" customFormat="1">
      <c r="A38" s="40" t="s">
        <v>255</v>
      </c>
      <c r="B38" s="51"/>
      <c r="C38" s="147"/>
      <c r="D38" s="262"/>
      <c r="E38" s="236"/>
      <c r="F38" s="235">
        <v>0</v>
      </c>
      <c r="G38" s="235"/>
      <c r="H38" s="235">
        <v>0</v>
      </c>
      <c r="I38" s="235"/>
      <c r="J38" s="235"/>
      <c r="K38" s="235"/>
      <c r="L38" s="235"/>
      <c r="M38" s="235"/>
      <c r="N38" s="348"/>
    </row>
    <row r="39" spans="1:14">
      <c r="A39" s="40" t="s">
        <v>256</v>
      </c>
      <c r="B39" s="46"/>
      <c r="C39" s="47"/>
      <c r="D39" s="48">
        <f>D37+D22+D16</f>
        <v>0</v>
      </c>
      <c r="E39" s="42">
        <f>E37+E22+E16-E38</f>
        <v>638</v>
      </c>
      <c r="F39" s="17">
        <f>F37+F22+F16-F38</f>
        <v>610</v>
      </c>
      <c r="G39" s="17">
        <f t="shared" ref="G39:M39" si="5">G37+G22+G16-G38</f>
        <v>0</v>
      </c>
      <c r="H39" s="17">
        <f t="shared" si="5"/>
        <v>610</v>
      </c>
      <c r="I39" s="17">
        <f t="shared" si="5"/>
        <v>0</v>
      </c>
      <c r="J39" s="17">
        <f t="shared" si="5"/>
        <v>0</v>
      </c>
      <c r="K39" s="17">
        <f t="shared" si="5"/>
        <v>0</v>
      </c>
      <c r="L39" s="17">
        <f t="shared" si="5"/>
        <v>0</v>
      </c>
      <c r="M39" s="17">
        <f t="shared" si="5"/>
        <v>0</v>
      </c>
      <c r="N39" s="346"/>
    </row>
    <row r="41" spans="1:14">
      <c r="A41" s="921" t="s">
        <v>390</v>
      </c>
      <c r="B41" s="922"/>
      <c r="C41" s="922"/>
      <c r="D41" s="922"/>
      <c r="E41" s="923"/>
      <c r="F41" s="303" t="s">
        <v>391</v>
      </c>
      <c r="G41" s="304" t="s">
        <v>0</v>
      </c>
      <c r="H41" s="304" t="s">
        <v>1</v>
      </c>
      <c r="I41" s="304" t="s">
        <v>2</v>
      </c>
      <c r="J41" s="304" t="s">
        <v>3</v>
      </c>
      <c r="K41" s="304" t="s">
        <v>4</v>
      </c>
      <c r="L41" s="304" t="s">
        <v>26</v>
      </c>
      <c r="M41" s="305"/>
      <c r="N41" s="348" t="s">
        <v>215</v>
      </c>
    </row>
    <row r="42" spans="1:14">
      <c r="A42" s="924" t="s">
        <v>392</v>
      </c>
      <c r="B42" s="925"/>
      <c r="C42" s="925"/>
      <c r="D42" s="926"/>
      <c r="E42" s="89"/>
      <c r="F42" s="86"/>
      <c r="G42" s="88"/>
      <c r="H42" s="88"/>
      <c r="I42" s="88"/>
      <c r="J42" s="88"/>
      <c r="K42" s="88"/>
      <c r="L42" s="88"/>
      <c r="M42" s="86"/>
      <c r="N42" s="87"/>
    </row>
    <row r="43" spans="1:14" ht="15" thickBot="1">
      <c r="A43" s="971" t="s">
        <v>393</v>
      </c>
      <c r="B43" s="972"/>
      <c r="C43" s="972"/>
      <c r="D43" s="973"/>
      <c r="E43" s="81"/>
      <c r="F43" s="82">
        <f>F39</f>
        <v>610</v>
      </c>
      <c r="G43" s="83">
        <v>244</v>
      </c>
      <c r="H43" s="83">
        <v>0</v>
      </c>
      <c r="I43" s="83">
        <v>156</v>
      </c>
      <c r="J43" s="83">
        <v>210</v>
      </c>
      <c r="K43" s="83">
        <v>0</v>
      </c>
      <c r="L43" s="83">
        <v>0</v>
      </c>
      <c r="M43" s="84">
        <v>0</v>
      </c>
      <c r="N43" s="85" t="s">
        <v>1202</v>
      </c>
    </row>
    <row r="44" spans="1:14">
      <c r="A44" s="918" t="s">
        <v>394</v>
      </c>
      <c r="B44" s="919"/>
      <c r="C44" s="919"/>
      <c r="D44" s="920"/>
      <c r="E44" s="76"/>
      <c r="F44" s="77"/>
      <c r="G44" s="78">
        <f t="shared" ref="G44:M44" si="6">G39-G43</f>
        <v>-244</v>
      </c>
      <c r="H44" s="78">
        <f t="shared" si="6"/>
        <v>610</v>
      </c>
      <c r="I44" s="78">
        <f t="shared" si="6"/>
        <v>-156</v>
      </c>
      <c r="J44" s="78">
        <f t="shared" si="6"/>
        <v>-210</v>
      </c>
      <c r="K44" s="78">
        <f t="shared" si="6"/>
        <v>0</v>
      </c>
      <c r="L44" s="78">
        <f t="shared" si="6"/>
        <v>0</v>
      </c>
      <c r="M44" s="79">
        <f t="shared" si="6"/>
        <v>0</v>
      </c>
      <c r="N44" s="80"/>
    </row>
    <row r="46" spans="1:14">
      <c r="A46" s="370"/>
      <c r="B46" s="370"/>
      <c r="C46" s="639"/>
      <c r="D46" s="370"/>
      <c r="E46" s="370"/>
      <c r="F46" s="283" t="s">
        <v>1233</v>
      </c>
      <c r="G46" s="223">
        <f>244/610</f>
        <v>0.4</v>
      </c>
      <c r="H46" s="370"/>
      <c r="I46" s="223">
        <f>156/610</f>
        <v>0.25573770491803277</v>
      </c>
      <c r="J46" s="223">
        <f>210/610</f>
        <v>0.34426229508196721</v>
      </c>
      <c r="K46" s="370"/>
      <c r="L46" s="370"/>
      <c r="M46" s="370"/>
      <c r="N46" s="370"/>
    </row>
    <row r="47" spans="1:14">
      <c r="A47" s="370"/>
      <c r="B47" s="370"/>
      <c r="C47" s="639"/>
      <c r="D47" s="370"/>
      <c r="E47" s="370"/>
      <c r="F47" s="283" t="s">
        <v>465</v>
      </c>
      <c r="G47" s="257">
        <f>+$F$43*G46</f>
        <v>244</v>
      </c>
      <c r="H47" s="370"/>
      <c r="I47" s="257">
        <f t="shared" ref="I47:J47" si="7">+$F$43*I46</f>
        <v>156</v>
      </c>
      <c r="J47" s="257">
        <f t="shared" si="7"/>
        <v>210</v>
      </c>
      <c r="K47" s="370"/>
      <c r="L47" s="370"/>
      <c r="M47" s="370"/>
      <c r="N47" s="370"/>
    </row>
    <row r="48" spans="1:14">
      <c r="A48" s="370"/>
      <c r="B48" s="370"/>
      <c r="C48" s="370"/>
      <c r="D48" s="370"/>
      <c r="E48" s="370"/>
      <c r="F48" s="370"/>
      <c r="G48" s="370"/>
      <c r="H48" s="370"/>
      <c r="I48" s="370"/>
      <c r="J48" s="370"/>
      <c r="K48" s="370"/>
      <c r="L48" s="370"/>
      <c r="M48" s="370"/>
      <c r="N48" s="370"/>
    </row>
    <row r="50" spans="1:14" s="370" customFormat="1" ht="15" thickBot="1">
      <c r="A50" s="31"/>
      <c r="B50" s="31"/>
      <c r="C50" s="32"/>
      <c r="D50" s="31"/>
      <c r="E50" s="31"/>
      <c r="F50" s="31"/>
      <c r="G50" s="31"/>
      <c r="H50" s="31"/>
      <c r="I50" s="31"/>
      <c r="J50" s="31"/>
      <c r="K50" s="31"/>
      <c r="L50" s="31"/>
      <c r="M50" s="31"/>
      <c r="N50" s="536"/>
    </row>
    <row r="51" spans="1:14" s="370" customFormat="1" ht="15.5">
      <c r="A51" s="873" t="s">
        <v>257</v>
      </c>
      <c r="B51" s="874"/>
      <c r="C51" s="874"/>
      <c r="D51" s="874"/>
      <c r="E51" s="874"/>
      <c r="F51" s="874"/>
      <c r="G51" s="550"/>
      <c r="H51" s="31"/>
      <c r="I51" s="31"/>
      <c r="J51" s="31"/>
      <c r="K51" s="31"/>
      <c r="L51" s="31"/>
      <c r="M51" s="31"/>
      <c r="N51" s="536"/>
    </row>
    <row r="52" spans="1:14" s="370" customFormat="1" ht="15.5">
      <c r="A52" s="875"/>
      <c r="B52" s="876"/>
      <c r="C52" s="876"/>
      <c r="D52" s="876"/>
      <c r="E52" s="876"/>
      <c r="F52" s="876"/>
      <c r="G52" s="551"/>
      <c r="H52" s="31"/>
      <c r="I52" s="31"/>
      <c r="J52" s="31"/>
      <c r="K52" s="31"/>
      <c r="L52" s="31"/>
      <c r="M52" s="31"/>
      <c r="N52" s="536"/>
    </row>
    <row r="53" spans="1:14" s="370" customFormat="1">
      <c r="A53" s="877" t="s">
        <v>258</v>
      </c>
      <c r="B53" s="878"/>
      <c r="C53" s="552"/>
      <c r="D53" s="552"/>
      <c r="E53" s="552"/>
      <c r="F53" s="552"/>
      <c r="G53" s="551"/>
      <c r="H53" s="31"/>
      <c r="I53" s="31"/>
      <c r="J53" s="31"/>
      <c r="K53" s="31"/>
      <c r="L53" s="31"/>
      <c r="M53" s="31"/>
      <c r="N53" s="536"/>
    </row>
    <row r="54" spans="1:14" s="370" customFormat="1">
      <c r="A54" s="553" t="s">
        <v>1028</v>
      </c>
      <c r="B54" s="554">
        <f>E39</f>
        <v>638</v>
      </c>
      <c r="C54" s="555"/>
      <c r="D54" s="556"/>
      <c r="E54" s="556"/>
      <c r="F54" s="556"/>
      <c r="G54" s="551"/>
      <c r="H54" s="31"/>
      <c r="I54" s="31"/>
      <c r="J54" s="31"/>
      <c r="K54" s="31"/>
      <c r="L54" s="31"/>
      <c r="M54" s="31"/>
      <c r="N54" s="536"/>
    </row>
    <row r="55" spans="1:14" s="370" customFormat="1">
      <c r="A55" s="557" t="s">
        <v>1029</v>
      </c>
      <c r="B55" s="558">
        <f>F39</f>
        <v>610</v>
      </c>
      <c r="C55" s="555"/>
      <c r="D55" s="556"/>
      <c r="E55" s="556"/>
      <c r="F55" s="556"/>
      <c r="G55" s="551"/>
      <c r="H55" s="31"/>
      <c r="I55" s="31"/>
      <c r="J55" s="31"/>
      <c r="K55" s="31"/>
      <c r="L55" s="31"/>
      <c r="M55" s="31"/>
      <c r="N55" s="536"/>
    </row>
    <row r="56" spans="1:14" s="370" customFormat="1">
      <c r="A56" s="559" t="s">
        <v>259</v>
      </c>
      <c r="B56" s="560">
        <f>B55-B54</f>
        <v>-28</v>
      </c>
      <c r="C56" s="555"/>
      <c r="D56" s="556"/>
      <c r="E56" s="556"/>
      <c r="F56" s="556"/>
      <c r="G56" s="551"/>
      <c r="H56" s="31"/>
      <c r="I56" s="31"/>
      <c r="J56" s="31"/>
      <c r="K56" s="31"/>
      <c r="L56" s="31"/>
      <c r="M56" s="31"/>
      <c r="N56" s="536"/>
    </row>
    <row r="57" spans="1:14" s="370" customFormat="1">
      <c r="A57" s="559" t="s">
        <v>260</v>
      </c>
      <c r="B57" s="561">
        <f>B56/B54</f>
        <v>-4.3887147335423198E-2</v>
      </c>
      <c r="C57" s="555"/>
      <c r="D57" s="556"/>
      <c r="E57" s="556"/>
      <c r="F57" s="556"/>
      <c r="G57" s="551"/>
      <c r="H57" s="31"/>
      <c r="I57" s="31"/>
      <c r="J57" s="31"/>
      <c r="K57" s="31"/>
      <c r="L57" s="31"/>
      <c r="M57" s="31"/>
      <c r="N57" s="536"/>
    </row>
    <row r="58" spans="1:14" s="370" customFormat="1">
      <c r="A58" s="562"/>
      <c r="B58" s="556"/>
      <c r="C58" s="660"/>
      <c r="D58" s="556"/>
      <c r="E58" s="556"/>
      <c r="F58" s="556"/>
      <c r="G58" s="551"/>
      <c r="H58" s="31"/>
      <c r="I58" s="31"/>
      <c r="J58" s="31"/>
      <c r="K58" s="31"/>
      <c r="L58" s="31"/>
      <c r="M58" s="31"/>
      <c r="N58" s="536"/>
    </row>
    <row r="59" spans="1:14" s="370" customFormat="1">
      <c r="A59" s="879" t="s">
        <v>261</v>
      </c>
      <c r="B59" s="880"/>
      <c r="C59" s="880"/>
      <c r="D59" s="880"/>
      <c r="E59" s="880"/>
      <c r="F59" s="880"/>
      <c r="G59" s="551"/>
      <c r="H59" s="31"/>
      <c r="I59" s="31"/>
      <c r="J59" s="31"/>
      <c r="K59" s="31"/>
      <c r="L59" s="31"/>
      <c r="M59" s="31"/>
      <c r="N59" s="536"/>
    </row>
    <row r="60" spans="1:14" s="370" customFormat="1">
      <c r="A60" s="881" t="s">
        <v>767</v>
      </c>
      <c r="B60" s="882"/>
      <c r="C60" s="882"/>
      <c r="D60" s="882"/>
      <c r="E60" s="882"/>
      <c r="F60" s="883"/>
      <c r="G60" s="551"/>
      <c r="H60" s="31"/>
      <c r="I60" s="31"/>
      <c r="J60" s="31"/>
      <c r="K60" s="31"/>
      <c r="L60" s="31"/>
      <c r="M60" s="31"/>
      <c r="N60" s="536"/>
    </row>
    <row r="61" spans="1:14" s="370" customFormat="1">
      <c r="A61" s="563"/>
      <c r="B61" s="564"/>
      <c r="C61" s="564"/>
      <c r="D61" s="564"/>
      <c r="E61" s="564"/>
      <c r="F61" s="564"/>
      <c r="G61" s="551"/>
      <c r="H61" s="31"/>
      <c r="I61" s="31"/>
      <c r="J61" s="31"/>
      <c r="K61" s="31"/>
      <c r="L61" s="31"/>
      <c r="M61" s="31"/>
      <c r="N61" s="536"/>
    </row>
    <row r="62" spans="1:14" s="370" customFormat="1">
      <c r="A62" s="565" t="s">
        <v>262</v>
      </c>
      <c r="B62" s="556"/>
      <c r="C62" s="719"/>
      <c r="D62" s="556"/>
      <c r="E62" s="556"/>
      <c r="F62" s="556"/>
      <c r="G62" s="551"/>
      <c r="H62" s="31"/>
      <c r="I62" s="31"/>
      <c r="J62" s="31"/>
      <c r="K62" s="31"/>
      <c r="L62" s="31"/>
      <c r="M62" s="31"/>
      <c r="N62" s="536"/>
    </row>
    <row r="63" spans="1:14" s="370" customFormat="1" ht="104.75" customHeight="1">
      <c r="A63" s="881" t="s">
        <v>768</v>
      </c>
      <c r="B63" s="882"/>
      <c r="C63" s="882"/>
      <c r="D63" s="882"/>
      <c r="E63" s="882"/>
      <c r="F63" s="883"/>
      <c r="G63" s="551"/>
      <c r="H63" s="31"/>
      <c r="I63" s="31"/>
      <c r="J63" s="31"/>
      <c r="K63" s="31"/>
      <c r="L63" s="31"/>
      <c r="M63" s="31"/>
      <c r="N63" s="536"/>
    </row>
    <row r="64" spans="1:14" s="370" customFormat="1">
      <c r="A64" s="562"/>
      <c r="B64" s="556"/>
      <c r="C64" s="719"/>
      <c r="D64" s="556"/>
      <c r="E64" s="556"/>
      <c r="F64" s="556"/>
      <c r="G64" s="551"/>
      <c r="H64" s="31"/>
      <c r="I64" s="31"/>
      <c r="J64" s="31"/>
      <c r="K64" s="31"/>
      <c r="L64" s="31"/>
      <c r="M64" s="31"/>
      <c r="N64" s="536"/>
    </row>
    <row r="65" spans="1:14" s="370" customFormat="1">
      <c r="A65" s="879" t="s">
        <v>1020</v>
      </c>
      <c r="B65" s="880"/>
      <c r="C65" s="880"/>
      <c r="D65" s="880"/>
      <c r="E65" s="880"/>
      <c r="F65" s="880"/>
      <c r="G65" s="551"/>
      <c r="H65" s="31"/>
      <c r="I65" s="31"/>
      <c r="J65" s="31"/>
      <c r="K65" s="31"/>
      <c r="L65" s="31"/>
      <c r="M65" s="31"/>
      <c r="N65" s="536"/>
    </row>
    <row r="66" spans="1:14" s="370" customFormat="1">
      <c r="A66" s="898" t="s">
        <v>1021</v>
      </c>
      <c r="B66" s="899"/>
      <c r="C66" s="899"/>
      <c r="D66" s="899"/>
      <c r="E66" s="899"/>
      <c r="F66" s="899"/>
      <c r="G66" s="551"/>
      <c r="H66" s="31"/>
      <c r="I66" s="31"/>
      <c r="J66" s="31"/>
      <c r="K66" s="31"/>
      <c r="L66" s="31"/>
      <c r="M66" s="31"/>
      <c r="N66" s="536"/>
    </row>
    <row r="67" spans="1:14" s="370" customFormat="1" ht="47.4" customHeight="1">
      <c r="A67" s="881" t="s">
        <v>769</v>
      </c>
      <c r="B67" s="882"/>
      <c r="C67" s="882"/>
      <c r="D67" s="882"/>
      <c r="E67" s="882"/>
      <c r="F67" s="883"/>
      <c r="G67" s="551"/>
      <c r="H67" s="31"/>
      <c r="I67" s="31"/>
      <c r="J67" s="31"/>
      <c r="K67" s="31"/>
      <c r="L67" s="31"/>
      <c r="M67" s="31"/>
      <c r="N67" s="536"/>
    </row>
    <row r="68" spans="1:14" s="370" customFormat="1">
      <c r="A68" s="565"/>
      <c r="B68" s="556"/>
      <c r="C68" s="719"/>
      <c r="D68" s="556"/>
      <c r="E68" s="556"/>
      <c r="F68" s="556"/>
      <c r="G68" s="551"/>
      <c r="H68" s="31"/>
      <c r="I68" s="31"/>
      <c r="J68" s="31"/>
      <c r="K68" s="31"/>
      <c r="L68" s="31"/>
      <c r="M68" s="31"/>
      <c r="N68" s="536"/>
    </row>
    <row r="69" spans="1:14" s="370" customFormat="1">
      <c r="A69" s="879" t="s">
        <v>264</v>
      </c>
      <c r="B69" s="880"/>
      <c r="C69" s="880"/>
      <c r="D69" s="880"/>
      <c r="E69" s="880"/>
      <c r="F69" s="556"/>
      <c r="G69" s="551"/>
      <c r="H69" s="31"/>
      <c r="I69" s="31"/>
      <c r="J69" s="31"/>
      <c r="K69" s="31"/>
      <c r="L69" s="31"/>
      <c r="M69" s="31"/>
      <c r="N69" s="536"/>
    </row>
    <row r="70" spans="1:14" s="370" customFormat="1" ht="20.75" customHeight="1">
      <c r="A70" s="889" t="s">
        <v>466</v>
      </c>
      <c r="B70" s="890"/>
      <c r="C70" s="890"/>
      <c r="D70" s="890"/>
      <c r="E70" s="890"/>
      <c r="F70" s="891"/>
      <c r="G70" s="551"/>
      <c r="H70" s="31"/>
      <c r="I70" s="31"/>
      <c r="J70" s="31"/>
      <c r="K70" s="31"/>
      <c r="L70" s="31"/>
      <c r="M70" s="31"/>
      <c r="N70" s="536"/>
    </row>
    <row r="71" spans="1:14" s="370" customFormat="1">
      <c r="A71" s="562"/>
      <c r="B71" s="556"/>
      <c r="C71" s="719"/>
      <c r="D71" s="556"/>
      <c r="E71" s="556"/>
      <c r="F71" s="556"/>
      <c r="G71" s="551"/>
      <c r="H71" s="31"/>
      <c r="I71" s="31"/>
      <c r="J71" s="31"/>
      <c r="K71" s="31"/>
      <c r="L71" s="31"/>
      <c r="M71" s="31"/>
      <c r="N71" s="536"/>
    </row>
    <row r="72" spans="1:14" s="370" customFormat="1">
      <c r="A72" s="565" t="s">
        <v>265</v>
      </c>
      <c r="B72" s="556"/>
      <c r="C72" s="719"/>
      <c r="D72" s="556"/>
      <c r="E72" s="556"/>
      <c r="F72" s="556"/>
      <c r="G72" s="551"/>
      <c r="H72" s="31"/>
      <c r="I72" s="31"/>
      <c r="J72" s="31"/>
      <c r="K72" s="31"/>
      <c r="L72" s="31"/>
      <c r="M72" s="31"/>
      <c r="N72" s="536"/>
    </row>
    <row r="73" spans="1:14" s="370" customFormat="1">
      <c r="A73" s="566" t="s">
        <v>266</v>
      </c>
      <c r="B73" s="556"/>
      <c r="C73" s="719"/>
      <c r="D73" s="556"/>
      <c r="E73" s="556"/>
      <c r="F73" s="556"/>
      <c r="G73" s="551"/>
      <c r="H73" s="31"/>
      <c r="I73" s="31"/>
      <c r="J73" s="31"/>
      <c r="K73" s="31"/>
      <c r="L73" s="31"/>
      <c r="M73" s="31"/>
      <c r="N73" s="536"/>
    </row>
    <row r="74" spans="1:14" s="370" customFormat="1" ht="26.25" customHeight="1">
      <c r="A74" s="892" t="s">
        <v>1030</v>
      </c>
      <c r="B74" s="893"/>
      <c r="C74" s="893"/>
      <c r="D74" s="893"/>
      <c r="E74" s="893"/>
      <c r="F74" s="893"/>
      <c r="G74" s="551"/>
      <c r="H74" s="31"/>
      <c r="I74" s="31"/>
      <c r="J74" s="31"/>
      <c r="K74" s="31"/>
      <c r="L74" s="31"/>
      <c r="M74" s="31"/>
      <c r="N74" s="536"/>
    </row>
    <row r="75" spans="1:14" s="370" customFormat="1" ht="41" customHeight="1">
      <c r="A75" s="900" t="s">
        <v>1154</v>
      </c>
      <c r="B75" s="901"/>
      <c r="C75" s="901"/>
      <c r="D75" s="901"/>
      <c r="E75" s="901"/>
      <c r="F75" s="902"/>
      <c r="G75" s="551"/>
      <c r="H75" s="31"/>
      <c r="I75" s="31"/>
      <c r="J75" s="31"/>
      <c r="K75" s="31"/>
      <c r="L75" s="31"/>
      <c r="M75" s="31"/>
      <c r="N75" s="536"/>
    </row>
    <row r="76" spans="1:14" s="370" customFormat="1">
      <c r="A76" s="894"/>
      <c r="B76" s="895"/>
      <c r="C76" s="895"/>
      <c r="D76" s="895"/>
      <c r="E76" s="895"/>
      <c r="F76" s="895"/>
      <c r="G76" s="551"/>
      <c r="H76" s="31"/>
      <c r="I76" s="31"/>
      <c r="J76" s="31"/>
      <c r="K76" s="31"/>
      <c r="L76" s="31"/>
      <c r="M76" s="31"/>
      <c r="N76" s="536"/>
    </row>
    <row r="77" spans="1:14" s="370" customFormat="1">
      <c r="A77" s="566" t="s">
        <v>268</v>
      </c>
      <c r="B77" s="556"/>
      <c r="C77" s="719"/>
      <c r="D77" s="556"/>
      <c r="E77" s="556"/>
      <c r="F77" s="556"/>
      <c r="G77" s="551"/>
      <c r="H77" s="31"/>
      <c r="I77" s="31"/>
      <c r="J77" s="31"/>
      <c r="K77" s="31"/>
      <c r="L77" s="31"/>
      <c r="M77" s="31"/>
      <c r="N77" s="536"/>
    </row>
    <row r="78" spans="1:14" s="370" customFormat="1" ht="28.65" customHeight="1">
      <c r="A78" s="896" t="s">
        <v>269</v>
      </c>
      <c r="B78" s="897"/>
      <c r="C78" s="897"/>
      <c r="D78" s="897"/>
      <c r="E78" s="897"/>
      <c r="F78" s="897"/>
      <c r="G78" s="551"/>
      <c r="H78" s="31"/>
      <c r="I78" s="31"/>
      <c r="J78" s="31"/>
      <c r="K78" s="31"/>
      <c r="L78" s="31"/>
      <c r="M78" s="31"/>
      <c r="N78" s="536"/>
    </row>
    <row r="79" spans="1:14" s="370" customFormat="1" ht="19.25" customHeight="1">
      <c r="A79" s="889" t="s">
        <v>452</v>
      </c>
      <c r="B79" s="890"/>
      <c r="C79" s="890"/>
      <c r="D79" s="890"/>
      <c r="E79" s="890"/>
      <c r="F79" s="891"/>
      <c r="G79" s="551"/>
      <c r="H79" s="31"/>
      <c r="I79" s="31"/>
      <c r="J79" s="31"/>
      <c r="K79" s="31"/>
      <c r="L79" s="31"/>
      <c r="M79" s="31"/>
      <c r="N79" s="536"/>
    </row>
    <row r="80" spans="1:14" s="370" customFormat="1" ht="15" thickBot="1">
      <c r="A80" s="567"/>
      <c r="B80" s="568"/>
      <c r="C80" s="569"/>
      <c r="D80" s="568"/>
      <c r="E80" s="568"/>
      <c r="F80" s="568"/>
      <c r="G80" s="570"/>
      <c r="H80" s="31"/>
      <c r="I80" s="31"/>
      <c r="J80" s="31"/>
      <c r="K80" s="31"/>
      <c r="L80" s="31"/>
      <c r="M80" s="31"/>
      <c r="N80" s="536"/>
    </row>
    <row r="81" spans="1:14" s="370" customFormat="1">
      <c r="A81" s="31"/>
      <c r="B81" s="31"/>
      <c r="C81" s="32"/>
      <c r="D81" s="31"/>
      <c r="E81" s="31"/>
      <c r="F81" s="31"/>
      <c r="G81" s="31"/>
      <c r="H81" s="31"/>
      <c r="I81" s="31"/>
      <c r="J81" s="31"/>
      <c r="K81" s="31"/>
      <c r="L81" s="31"/>
      <c r="M81" s="31"/>
      <c r="N81" s="536"/>
    </row>
    <row r="82" spans="1:14" s="370" customFormat="1">
      <c r="C82" s="661"/>
    </row>
    <row r="83" spans="1:14" s="370" customFormat="1">
      <c r="C83" s="661"/>
    </row>
    <row r="84" spans="1:14" s="370" customFormat="1">
      <c r="C84" s="661"/>
    </row>
    <row r="85" spans="1:14" s="370" customFormat="1">
      <c r="C85" s="661"/>
    </row>
    <row r="86" spans="1:14" s="370" customFormat="1">
      <c r="C86" s="661"/>
    </row>
    <row r="87" spans="1:14" s="370" customFormat="1">
      <c r="C87" s="661"/>
    </row>
    <row r="88" spans="1:14" s="370" customFormat="1">
      <c r="C88" s="661"/>
    </row>
    <row r="89" spans="1:14" s="370" customFormat="1">
      <c r="C89" s="661"/>
    </row>
    <row r="90" spans="1:14" s="370" customFormat="1">
      <c r="C90" s="661"/>
    </row>
    <row r="91" spans="1:14" s="370" customFormat="1">
      <c r="C91" s="661"/>
    </row>
    <row r="92" spans="1:14" s="370" customFormat="1">
      <c r="C92" s="661"/>
    </row>
    <row r="93" spans="1:14" s="370" customFormat="1">
      <c r="C93" s="661"/>
    </row>
    <row r="94" spans="1:14" s="370" customFormat="1">
      <c r="C94" s="661"/>
    </row>
    <row r="95" spans="1:14" s="370" customFormat="1">
      <c r="C95" s="661"/>
    </row>
    <row r="96" spans="1:14" s="370" customFormat="1">
      <c r="C96" s="661"/>
    </row>
    <row r="97" spans="3:3" s="370" customFormat="1">
      <c r="C97" s="661"/>
    </row>
    <row r="98" spans="3:3" s="370" customFormat="1">
      <c r="C98" s="661"/>
    </row>
    <row r="99" spans="3:3" s="370" customFormat="1">
      <c r="C99" s="661"/>
    </row>
    <row r="100" spans="3:3" s="370" customFormat="1">
      <c r="C100" s="661"/>
    </row>
    <row r="101" spans="3:3" s="370" customFormat="1">
      <c r="C101" s="661"/>
    </row>
    <row r="102" spans="3:3" s="370" customFormat="1">
      <c r="C102" s="661"/>
    </row>
    <row r="103" spans="3:3" s="370" customFormat="1">
      <c r="C103" s="661"/>
    </row>
    <row r="104" spans="3:3" s="370" customFormat="1">
      <c r="C104" s="661"/>
    </row>
    <row r="105" spans="3:3" s="370" customFormat="1">
      <c r="C105" s="661"/>
    </row>
    <row r="106" spans="3:3" s="370" customFormat="1">
      <c r="C106" s="661"/>
    </row>
    <row r="107" spans="3:3" s="370" customFormat="1">
      <c r="C107" s="661"/>
    </row>
    <row r="108" spans="3:3" s="370" customFormat="1">
      <c r="C108" s="661"/>
    </row>
    <row r="109" spans="3:3" s="370" customFormat="1">
      <c r="C109" s="661"/>
    </row>
    <row r="110" spans="3:3" s="370" customFormat="1">
      <c r="C110" s="661"/>
    </row>
    <row r="111" spans="3:3" s="370" customFormat="1">
      <c r="C111" s="661"/>
    </row>
    <row r="112" spans="3:3" s="370" customFormat="1">
      <c r="C112" s="661"/>
    </row>
    <row r="113" spans="3:3" s="370" customFormat="1">
      <c r="C113" s="661"/>
    </row>
    <row r="114" spans="3:3" s="370" customFormat="1">
      <c r="C114" s="661"/>
    </row>
    <row r="115" spans="3:3" s="370" customFormat="1">
      <c r="C115" s="661"/>
    </row>
    <row r="116" spans="3:3" s="370" customFormat="1">
      <c r="C116" s="661"/>
    </row>
    <row r="117" spans="3:3" s="370" customFormat="1">
      <c r="C117" s="661"/>
    </row>
    <row r="118" spans="3:3" s="370" customFormat="1">
      <c r="C118" s="661"/>
    </row>
    <row r="119" spans="3:3" s="370" customFormat="1">
      <c r="C119" s="661"/>
    </row>
    <row r="120" spans="3:3" s="370" customFormat="1">
      <c r="C120" s="661"/>
    </row>
    <row r="121" spans="3:3" s="370" customFormat="1">
      <c r="C121" s="661"/>
    </row>
    <row r="122" spans="3:3" s="370" customFormat="1">
      <c r="C122" s="661"/>
    </row>
    <row r="123" spans="3:3" s="370" customFormat="1">
      <c r="C123" s="661"/>
    </row>
    <row r="124" spans="3:3" s="370" customFormat="1">
      <c r="C124" s="661"/>
    </row>
    <row r="125" spans="3:3" s="370" customFormat="1">
      <c r="C125" s="661"/>
    </row>
    <row r="126" spans="3:3" s="370" customFormat="1">
      <c r="C126" s="661"/>
    </row>
    <row r="127" spans="3:3" s="370" customFormat="1">
      <c r="C127" s="661"/>
    </row>
    <row r="128" spans="3:3" s="370" customFormat="1">
      <c r="C128" s="661"/>
    </row>
    <row r="129" spans="3:3" s="370" customFormat="1">
      <c r="C129" s="661"/>
    </row>
    <row r="130" spans="3:3" s="370" customFormat="1">
      <c r="C130" s="661"/>
    </row>
    <row r="131" spans="3:3" s="370" customFormat="1">
      <c r="C131" s="661"/>
    </row>
    <row r="132" spans="3:3" s="370" customFormat="1">
      <c r="C132" s="661"/>
    </row>
    <row r="133" spans="3:3" s="370" customFormat="1">
      <c r="C133" s="661"/>
    </row>
    <row r="134" spans="3:3" s="370" customFormat="1">
      <c r="C134" s="661"/>
    </row>
    <row r="135" spans="3:3" s="370" customFormat="1">
      <c r="C135" s="661"/>
    </row>
    <row r="136" spans="3:3" s="370" customFormat="1">
      <c r="C136" s="661"/>
    </row>
    <row r="137" spans="3:3" s="370" customFormat="1">
      <c r="C137" s="661"/>
    </row>
    <row r="138" spans="3:3" s="370" customFormat="1">
      <c r="C138" s="661"/>
    </row>
    <row r="139" spans="3:3" s="370" customFormat="1">
      <c r="C139" s="661"/>
    </row>
    <row r="140" spans="3:3" s="370" customFormat="1">
      <c r="C140" s="661"/>
    </row>
    <row r="141" spans="3:3" s="370" customFormat="1">
      <c r="C141" s="661"/>
    </row>
    <row r="142" spans="3:3" s="370" customFormat="1">
      <c r="C142" s="661"/>
    </row>
    <row r="143" spans="3:3" s="370" customFormat="1">
      <c r="C143" s="661"/>
    </row>
    <row r="144" spans="3:3" s="370" customFormat="1">
      <c r="C144" s="661"/>
    </row>
    <row r="145" spans="3:3" s="370" customFormat="1">
      <c r="C145" s="661"/>
    </row>
    <row r="146" spans="3:3" s="370" customFormat="1">
      <c r="C146" s="661"/>
    </row>
    <row r="147" spans="3:3" s="370" customFormat="1">
      <c r="C147" s="661"/>
    </row>
    <row r="148" spans="3:3" s="370" customFormat="1">
      <c r="C148" s="661"/>
    </row>
    <row r="149" spans="3:3" s="370" customFormat="1">
      <c r="C149" s="661"/>
    </row>
    <row r="150" spans="3:3" s="370" customFormat="1">
      <c r="C150" s="661"/>
    </row>
    <row r="151" spans="3:3" s="370" customFormat="1">
      <c r="C151" s="661"/>
    </row>
    <row r="152" spans="3:3" s="370" customFormat="1">
      <c r="C152" s="661"/>
    </row>
    <row r="153" spans="3:3" s="370" customFormat="1">
      <c r="C153" s="661"/>
    </row>
    <row r="154" spans="3:3" s="370" customFormat="1">
      <c r="C154" s="661"/>
    </row>
    <row r="155" spans="3:3" s="370" customFormat="1">
      <c r="C155" s="661"/>
    </row>
    <row r="156" spans="3:3" s="370" customFormat="1">
      <c r="C156" s="661"/>
    </row>
    <row r="157" spans="3:3" s="370" customFormat="1">
      <c r="C157" s="661"/>
    </row>
    <row r="158" spans="3:3" s="370" customFormat="1">
      <c r="C158" s="661"/>
    </row>
    <row r="159" spans="3:3" s="370" customFormat="1">
      <c r="C159" s="661"/>
    </row>
    <row r="160" spans="3:3" s="370" customFormat="1">
      <c r="C160" s="661"/>
    </row>
    <row r="161" spans="3:3" s="370" customFormat="1">
      <c r="C161" s="661"/>
    </row>
    <row r="162" spans="3:3" s="370" customFormat="1">
      <c r="C162" s="661"/>
    </row>
    <row r="163" spans="3:3" s="370" customFormat="1">
      <c r="C163" s="661"/>
    </row>
    <row r="164" spans="3:3" s="370" customFormat="1">
      <c r="C164" s="661"/>
    </row>
    <row r="165" spans="3:3" s="370" customFormat="1">
      <c r="C165" s="661"/>
    </row>
    <row r="166" spans="3:3" s="370" customFormat="1">
      <c r="C166" s="661"/>
    </row>
    <row r="167" spans="3:3" s="370" customFormat="1">
      <c r="C167" s="661"/>
    </row>
    <row r="168" spans="3:3" s="370" customFormat="1">
      <c r="C168" s="661"/>
    </row>
    <row r="169" spans="3:3" s="370" customFormat="1">
      <c r="C169" s="661"/>
    </row>
    <row r="170" spans="3:3" s="370" customFormat="1">
      <c r="C170" s="661"/>
    </row>
    <row r="171" spans="3:3" s="370" customFormat="1">
      <c r="C171" s="661"/>
    </row>
    <row r="172" spans="3:3" s="370" customFormat="1">
      <c r="C172" s="661"/>
    </row>
    <row r="173" spans="3:3" s="370" customFormat="1">
      <c r="C173" s="661"/>
    </row>
    <row r="174" spans="3:3" s="370" customFormat="1">
      <c r="C174" s="661"/>
    </row>
    <row r="175" spans="3:3" s="370" customFormat="1">
      <c r="C175" s="661"/>
    </row>
    <row r="176" spans="3:3" s="370" customFormat="1">
      <c r="C176" s="661"/>
    </row>
    <row r="177" spans="3:3" s="370" customFormat="1">
      <c r="C177" s="661"/>
    </row>
    <row r="178" spans="3:3" s="370" customFormat="1">
      <c r="C178" s="661"/>
    </row>
    <row r="179" spans="3:3" s="370" customFormat="1">
      <c r="C179" s="661"/>
    </row>
    <row r="180" spans="3:3" s="370" customFormat="1">
      <c r="C180" s="661"/>
    </row>
    <row r="181" spans="3:3" s="370" customFormat="1">
      <c r="C181" s="661"/>
    </row>
    <row r="182" spans="3:3" s="370" customFormat="1">
      <c r="C182" s="661"/>
    </row>
    <row r="183" spans="3:3" s="370" customFormat="1">
      <c r="C183" s="661"/>
    </row>
    <row r="184" spans="3:3" s="370" customFormat="1">
      <c r="C184" s="661"/>
    </row>
    <row r="185" spans="3:3" s="370" customFormat="1">
      <c r="C185" s="661"/>
    </row>
    <row r="186" spans="3:3" s="370" customFormat="1">
      <c r="C186" s="661"/>
    </row>
    <row r="187" spans="3:3" s="370" customFormat="1">
      <c r="C187" s="661"/>
    </row>
    <row r="188" spans="3:3" s="370" customFormat="1">
      <c r="C188" s="661"/>
    </row>
    <row r="189" spans="3:3" s="370" customFormat="1">
      <c r="C189" s="661"/>
    </row>
    <row r="190" spans="3:3" s="370" customFormat="1">
      <c r="C190" s="661"/>
    </row>
    <row r="191" spans="3:3" s="370" customFormat="1">
      <c r="C191" s="661"/>
    </row>
    <row r="192" spans="3:3" s="370" customFormat="1">
      <c r="C192" s="661"/>
    </row>
    <row r="193" spans="3:3" s="370" customFormat="1">
      <c r="C193" s="661"/>
    </row>
    <row r="194" spans="3:3" s="370" customFormat="1">
      <c r="C194" s="661"/>
    </row>
    <row r="195" spans="3:3" s="370" customFormat="1">
      <c r="C195" s="661"/>
    </row>
    <row r="196" spans="3:3" s="370" customFormat="1">
      <c r="C196" s="661"/>
    </row>
    <row r="197" spans="3:3" s="370" customFormat="1">
      <c r="C197" s="661"/>
    </row>
    <row r="198" spans="3:3" s="370" customFormat="1">
      <c r="C198" s="661"/>
    </row>
    <row r="199" spans="3:3" s="370" customFormat="1">
      <c r="C199" s="661"/>
    </row>
    <row r="200" spans="3:3" s="370" customFormat="1">
      <c r="C200" s="661"/>
    </row>
    <row r="201" spans="3:3" s="370" customFormat="1">
      <c r="C201" s="661"/>
    </row>
    <row r="202" spans="3:3" s="370" customFormat="1">
      <c r="C202" s="661"/>
    </row>
    <row r="203" spans="3:3" s="370" customFormat="1">
      <c r="C203" s="661"/>
    </row>
    <row r="204" spans="3:3" s="370" customFormat="1">
      <c r="C204" s="661"/>
    </row>
    <row r="205" spans="3:3" s="370" customFormat="1">
      <c r="C205" s="661"/>
    </row>
    <row r="206" spans="3:3" s="370" customFormat="1">
      <c r="C206" s="661"/>
    </row>
    <row r="207" spans="3:3" s="370" customFormat="1">
      <c r="C207" s="661"/>
    </row>
    <row r="208" spans="3:3" s="370" customFormat="1">
      <c r="C208" s="661"/>
    </row>
    <row r="209" spans="3:3" s="370" customFormat="1">
      <c r="C209" s="661"/>
    </row>
    <row r="210" spans="3:3" s="370" customFormat="1">
      <c r="C210" s="661"/>
    </row>
    <row r="211" spans="3:3" s="370" customFormat="1">
      <c r="C211" s="661"/>
    </row>
    <row r="212" spans="3:3" s="370" customFormat="1">
      <c r="C212" s="661"/>
    </row>
    <row r="213" spans="3:3" s="370" customFormat="1">
      <c r="C213" s="661"/>
    </row>
    <row r="214" spans="3:3" s="370" customFormat="1">
      <c r="C214" s="661"/>
    </row>
    <row r="215" spans="3:3" s="370" customFormat="1">
      <c r="C215" s="661"/>
    </row>
    <row r="216" spans="3:3" s="370" customFormat="1">
      <c r="C216" s="661"/>
    </row>
    <row r="217" spans="3:3" s="370" customFormat="1">
      <c r="C217" s="661"/>
    </row>
    <row r="218" spans="3:3" s="370" customFormat="1">
      <c r="C218" s="661"/>
    </row>
    <row r="219" spans="3:3" s="370" customFormat="1">
      <c r="C219" s="661"/>
    </row>
    <row r="220" spans="3:3" s="370" customFormat="1">
      <c r="C220" s="661"/>
    </row>
    <row r="221" spans="3:3" s="370" customFormat="1">
      <c r="C221" s="661"/>
    </row>
    <row r="222" spans="3:3" s="370" customFormat="1">
      <c r="C222" s="661"/>
    </row>
    <row r="223" spans="3:3" s="370" customFormat="1">
      <c r="C223" s="661"/>
    </row>
    <row r="224" spans="3:3" s="370" customFormat="1">
      <c r="C224" s="661"/>
    </row>
    <row r="225" spans="3:3" s="370" customFormat="1">
      <c r="C225" s="661"/>
    </row>
    <row r="226" spans="3:3" s="370" customFormat="1">
      <c r="C226" s="661"/>
    </row>
    <row r="227" spans="3:3" s="370" customFormat="1">
      <c r="C227" s="661"/>
    </row>
    <row r="228" spans="3:3" s="370" customFormat="1">
      <c r="C228" s="661"/>
    </row>
    <row r="229" spans="3:3" s="370" customFormat="1">
      <c r="C229" s="661"/>
    </row>
    <row r="230" spans="3:3" s="370" customFormat="1">
      <c r="C230" s="661"/>
    </row>
    <row r="231" spans="3:3" s="370" customFormat="1">
      <c r="C231" s="661"/>
    </row>
    <row r="232" spans="3:3" s="370" customFormat="1">
      <c r="C232" s="661"/>
    </row>
    <row r="233" spans="3:3" s="370" customFormat="1">
      <c r="C233" s="661"/>
    </row>
    <row r="234" spans="3:3" s="370" customFormat="1">
      <c r="C234" s="661"/>
    </row>
    <row r="235" spans="3:3" s="370" customFormat="1">
      <c r="C235" s="661"/>
    </row>
    <row r="236" spans="3:3" s="370" customFormat="1">
      <c r="C236" s="661"/>
    </row>
    <row r="237" spans="3:3" s="370" customFormat="1">
      <c r="C237" s="661"/>
    </row>
    <row r="238" spans="3:3" s="370" customFormat="1">
      <c r="C238" s="661"/>
    </row>
    <row r="239" spans="3:3" s="370" customFormat="1">
      <c r="C239" s="661"/>
    </row>
    <row r="240" spans="3:3" s="370" customFormat="1">
      <c r="C240" s="661"/>
    </row>
    <row r="241" spans="3:3" s="370" customFormat="1">
      <c r="C241" s="661"/>
    </row>
    <row r="242" spans="3:3" s="370" customFormat="1">
      <c r="C242" s="661"/>
    </row>
    <row r="243" spans="3:3" s="370" customFormat="1">
      <c r="C243" s="661"/>
    </row>
    <row r="244" spans="3:3" s="370" customFormat="1">
      <c r="C244" s="661"/>
    </row>
    <row r="245" spans="3:3" s="370" customFormat="1">
      <c r="C245" s="661"/>
    </row>
    <row r="246" spans="3:3" s="370" customFormat="1">
      <c r="C246" s="661"/>
    </row>
    <row r="247" spans="3:3" s="370" customFormat="1">
      <c r="C247" s="661"/>
    </row>
    <row r="248" spans="3:3" s="370" customFormat="1">
      <c r="C248" s="661"/>
    </row>
    <row r="249" spans="3:3" s="370" customFormat="1">
      <c r="C249" s="661"/>
    </row>
    <row r="250" spans="3:3" s="370" customFormat="1">
      <c r="C250" s="661"/>
    </row>
    <row r="251" spans="3:3" s="370" customFormat="1">
      <c r="C251" s="661"/>
    </row>
    <row r="252" spans="3:3" s="370" customFormat="1">
      <c r="C252" s="661"/>
    </row>
    <row r="253" spans="3:3" s="370" customFormat="1">
      <c r="C253" s="661"/>
    </row>
    <row r="254" spans="3:3" s="370" customFormat="1">
      <c r="C254" s="661"/>
    </row>
    <row r="255" spans="3:3" s="370" customFormat="1">
      <c r="C255" s="661"/>
    </row>
    <row r="256" spans="3:3" s="370" customFormat="1">
      <c r="C256" s="661"/>
    </row>
    <row r="257" spans="3:3" s="370" customFormat="1">
      <c r="C257" s="661"/>
    </row>
    <row r="258" spans="3:3" s="370" customFormat="1">
      <c r="C258" s="661"/>
    </row>
    <row r="259" spans="3:3" s="370" customFormat="1">
      <c r="C259" s="661"/>
    </row>
    <row r="260" spans="3:3" s="370" customFormat="1">
      <c r="C260" s="661"/>
    </row>
    <row r="261" spans="3:3" s="370" customFormat="1">
      <c r="C261" s="661"/>
    </row>
    <row r="262" spans="3:3" s="370" customFormat="1">
      <c r="C262" s="661"/>
    </row>
  </sheetData>
  <mergeCells count="21">
    <mergeCell ref="A79:F79"/>
    <mergeCell ref="A70:F70"/>
    <mergeCell ref="A74:F74"/>
    <mergeCell ref="A75:F75"/>
    <mergeCell ref="A76:F76"/>
    <mergeCell ref="A78:F78"/>
    <mergeCell ref="A63:F63"/>
    <mergeCell ref="A65:F65"/>
    <mergeCell ref="A66:F66"/>
    <mergeCell ref="A67:F67"/>
    <mergeCell ref="A69:E69"/>
    <mergeCell ref="A51:F51"/>
    <mergeCell ref="A52:F52"/>
    <mergeCell ref="A53:B53"/>
    <mergeCell ref="A59:F59"/>
    <mergeCell ref="A60:F60"/>
    <mergeCell ref="A43:D43"/>
    <mergeCell ref="A44:D44"/>
    <mergeCell ref="A1:N1"/>
    <mergeCell ref="A41:E41"/>
    <mergeCell ref="A42:D42"/>
  </mergeCells>
  <printOptions horizontalCentered="1"/>
  <pageMargins left="0.2" right="0.2" top="0.75" bottom="0.75" header="0.3" footer="0.3"/>
  <pageSetup scale="70" fitToHeight="0" orientation="landscape" r:id="rId1"/>
  <headerFooter>
    <oddHeader xml:space="preserve">&amp;CDRAFT NOT FOR DISTRIBUTION, INTERNAL USE ONLY
</oddHead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N245"/>
  <sheetViews>
    <sheetView zoomScaleNormal="100" workbookViewId="0">
      <selection sqref="A1:N1"/>
    </sheetView>
  </sheetViews>
  <sheetFormatPr defaultRowHeight="14.5"/>
  <cols>
    <col min="1" max="1" width="43.453125" customWidth="1"/>
    <col min="2" max="2" width="18.7265625"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33.7265625" customWidth="1"/>
  </cols>
  <sheetData>
    <row r="1" spans="1:14" ht="15.5">
      <c r="A1" s="854" t="s">
        <v>377</v>
      </c>
      <c r="B1" s="854"/>
      <c r="C1" s="854"/>
      <c r="D1" s="854"/>
      <c r="E1" s="854"/>
      <c r="F1" s="854"/>
      <c r="G1" s="854"/>
      <c r="H1" s="854"/>
      <c r="I1" s="854"/>
      <c r="J1" s="854"/>
      <c r="K1" s="854"/>
      <c r="L1" s="854"/>
      <c r="M1" s="854"/>
      <c r="N1" s="854"/>
    </row>
    <row r="2" spans="1:14">
      <c r="A2" s="702" t="s">
        <v>467</v>
      </c>
      <c r="B2" s="31"/>
      <c r="C2" s="32"/>
      <c r="D2" s="31"/>
      <c r="E2" s="31"/>
      <c r="F2" s="31"/>
      <c r="G2" s="31"/>
      <c r="H2" s="31"/>
      <c r="I2" s="31"/>
      <c r="J2" s="31"/>
      <c r="K2" s="31"/>
      <c r="L2" s="31"/>
      <c r="M2" s="31"/>
      <c r="N2" s="31"/>
    </row>
    <row r="3" spans="1:14">
      <c r="A3" s="506" t="s">
        <v>1155</v>
      </c>
      <c r="B3" s="31"/>
      <c r="C3" s="32"/>
      <c r="D3" s="31"/>
      <c r="E3" s="29"/>
      <c r="F3" s="451" t="s">
        <v>210</v>
      </c>
      <c r="G3" s="29"/>
      <c r="H3" s="31"/>
      <c r="I3" s="31"/>
      <c r="J3" s="31"/>
      <c r="K3" s="31"/>
      <c r="L3" s="31"/>
      <c r="M3" s="31"/>
      <c r="N3" s="31"/>
    </row>
    <row r="4" spans="1:14">
      <c r="A4" s="506" t="s">
        <v>1156</v>
      </c>
      <c r="B4" s="31"/>
      <c r="C4" s="32"/>
      <c r="D4" s="31"/>
      <c r="E4" s="31"/>
      <c r="F4" s="31"/>
      <c r="G4" s="31"/>
      <c r="H4" s="31"/>
      <c r="I4" s="31"/>
      <c r="J4" s="31"/>
      <c r="K4" s="31"/>
      <c r="L4" s="31"/>
      <c r="M4" s="31"/>
      <c r="N4" s="31"/>
    </row>
    <row r="5" spans="1:14" ht="26.5">
      <c r="A5" s="33"/>
      <c r="B5" s="33" t="s">
        <v>212</v>
      </c>
      <c r="C5" s="1" t="s">
        <v>213</v>
      </c>
      <c r="D5" s="2" t="s">
        <v>273</v>
      </c>
      <c r="E5" s="34" t="s">
        <v>734</v>
      </c>
      <c r="F5" s="176" t="s">
        <v>1008</v>
      </c>
      <c r="G5" s="176" t="s">
        <v>0</v>
      </c>
      <c r="H5" s="176" t="s">
        <v>1</v>
      </c>
      <c r="I5" s="176" t="s">
        <v>2</v>
      </c>
      <c r="J5" s="176" t="s">
        <v>3</v>
      </c>
      <c r="K5" s="176" t="s">
        <v>4</v>
      </c>
      <c r="L5" s="176" t="s">
        <v>26</v>
      </c>
      <c r="M5" s="2" t="s">
        <v>214</v>
      </c>
      <c r="N5" s="176" t="s">
        <v>215</v>
      </c>
    </row>
    <row r="6" spans="1:14">
      <c r="A6" s="67" t="s">
        <v>216</v>
      </c>
      <c r="B6" s="68"/>
      <c r="C6" s="69"/>
      <c r="D6" s="68"/>
      <c r="E6" s="68"/>
      <c r="F6" s="68"/>
      <c r="G6" s="68"/>
      <c r="H6" s="68"/>
      <c r="I6" s="68"/>
      <c r="J6" s="68"/>
      <c r="K6" s="68"/>
      <c r="L6" s="68"/>
      <c r="M6" s="68"/>
      <c r="N6" s="68"/>
    </row>
    <row r="7" spans="1:14">
      <c r="A7" s="259" t="s">
        <v>1597</v>
      </c>
      <c r="B7" s="36" t="s">
        <v>469</v>
      </c>
      <c r="C7" s="37" t="s">
        <v>218</v>
      </c>
      <c r="D7" s="38">
        <v>1</v>
      </c>
      <c r="E7" s="258">
        <v>166</v>
      </c>
      <c r="F7" s="303">
        <f t="shared" ref="F7:F43" si="0">SUM(G7:M7)</f>
        <v>179</v>
      </c>
      <c r="G7" s="304">
        <v>0</v>
      </c>
      <c r="H7" s="304">
        <v>179</v>
      </c>
      <c r="I7" s="304">
        <v>0</v>
      </c>
      <c r="J7" s="304">
        <v>0</v>
      </c>
      <c r="K7" s="304">
        <v>0</v>
      </c>
      <c r="L7" s="304">
        <v>0</v>
      </c>
      <c r="M7" s="305">
        <v>0</v>
      </c>
      <c r="N7" s="318"/>
    </row>
    <row r="8" spans="1:14" s="370" customFormat="1">
      <c r="A8" s="259" t="s">
        <v>1598</v>
      </c>
      <c r="B8" s="530" t="s">
        <v>1157</v>
      </c>
      <c r="C8" s="37" t="s">
        <v>218</v>
      </c>
      <c r="D8" s="38">
        <v>1</v>
      </c>
      <c r="E8" s="258">
        <v>0</v>
      </c>
      <c r="F8" s="303">
        <f t="shared" si="0"/>
        <v>170</v>
      </c>
      <c r="G8" s="304">
        <v>0</v>
      </c>
      <c r="H8" s="304">
        <v>170</v>
      </c>
      <c r="I8" s="304">
        <v>0</v>
      </c>
      <c r="J8" s="304">
        <v>0</v>
      </c>
      <c r="K8" s="304">
        <v>0</v>
      </c>
      <c r="L8" s="304">
        <v>0</v>
      </c>
      <c r="M8" s="305">
        <v>0</v>
      </c>
      <c r="N8" s="318" t="s">
        <v>1203</v>
      </c>
    </row>
    <row r="9" spans="1:14">
      <c r="A9" s="259" t="s">
        <v>834</v>
      </c>
      <c r="B9" s="36" t="s">
        <v>470</v>
      </c>
      <c r="C9" s="37" t="s">
        <v>218</v>
      </c>
      <c r="D9" s="38">
        <v>1</v>
      </c>
      <c r="E9" s="258">
        <v>140</v>
      </c>
      <c r="F9" s="303">
        <f t="shared" si="0"/>
        <v>151</v>
      </c>
      <c r="G9" s="304">
        <v>0</v>
      </c>
      <c r="H9" s="304">
        <v>0</v>
      </c>
      <c r="I9" s="304">
        <v>0</v>
      </c>
      <c r="J9" s="304">
        <v>151</v>
      </c>
      <c r="K9" s="304">
        <v>0</v>
      </c>
      <c r="L9" s="304">
        <v>0</v>
      </c>
      <c r="M9" s="305">
        <v>0</v>
      </c>
      <c r="N9" s="367"/>
    </row>
    <row r="10" spans="1:14" ht="15" customHeight="1">
      <c r="A10" s="259" t="s">
        <v>834</v>
      </c>
      <c r="B10" s="530" t="s">
        <v>1599</v>
      </c>
      <c r="C10" s="37" t="s">
        <v>218</v>
      </c>
      <c r="D10" s="38">
        <v>1</v>
      </c>
      <c r="E10" s="258">
        <v>149</v>
      </c>
      <c r="F10" s="303">
        <f t="shared" si="0"/>
        <v>151</v>
      </c>
      <c r="G10" s="304">
        <v>0</v>
      </c>
      <c r="H10" s="304">
        <v>151</v>
      </c>
      <c r="I10" s="304">
        <v>0</v>
      </c>
      <c r="J10" s="304">
        <v>0</v>
      </c>
      <c r="K10" s="304">
        <v>0</v>
      </c>
      <c r="L10" s="304">
        <v>0</v>
      </c>
      <c r="M10" s="305">
        <v>0</v>
      </c>
      <c r="N10" s="318"/>
    </row>
    <row r="11" spans="1:14" s="279" customFormat="1" ht="15" customHeight="1">
      <c r="A11" s="259" t="s">
        <v>834</v>
      </c>
      <c r="B11" s="601" t="s">
        <v>1600</v>
      </c>
      <c r="C11" s="37" t="s">
        <v>218</v>
      </c>
      <c r="D11" s="38">
        <v>1</v>
      </c>
      <c r="E11" s="258">
        <v>171</v>
      </c>
      <c r="F11" s="303">
        <f t="shared" si="0"/>
        <v>151</v>
      </c>
      <c r="G11" s="304">
        <v>0</v>
      </c>
      <c r="H11" s="304">
        <v>151</v>
      </c>
      <c r="I11" s="304">
        <v>0</v>
      </c>
      <c r="J11" s="304">
        <v>0</v>
      </c>
      <c r="K11" s="304">
        <v>0</v>
      </c>
      <c r="L11" s="304">
        <v>0</v>
      </c>
      <c r="M11" s="305">
        <v>0</v>
      </c>
      <c r="N11" s="367" t="s">
        <v>1415</v>
      </c>
    </row>
    <row r="12" spans="1:14" s="370" customFormat="1">
      <c r="A12" s="259" t="s">
        <v>1160</v>
      </c>
      <c r="B12" s="36" t="s">
        <v>1158</v>
      </c>
      <c r="C12" s="607" t="s">
        <v>218</v>
      </c>
      <c r="D12" s="38">
        <v>1</v>
      </c>
      <c r="E12" s="258">
        <v>149</v>
      </c>
      <c r="F12" s="303">
        <f t="shared" si="0"/>
        <v>151</v>
      </c>
      <c r="G12" s="304">
        <v>0</v>
      </c>
      <c r="H12" s="304">
        <v>151</v>
      </c>
      <c r="I12" s="304">
        <v>0</v>
      </c>
      <c r="J12" s="304">
        <v>0</v>
      </c>
      <c r="K12" s="304">
        <v>0</v>
      </c>
      <c r="L12" s="304">
        <v>0</v>
      </c>
      <c r="M12" s="305">
        <v>0</v>
      </c>
      <c r="N12" s="318"/>
    </row>
    <row r="13" spans="1:14" s="149" customFormat="1" ht="29">
      <c r="A13" s="259" t="s">
        <v>1204</v>
      </c>
      <c r="B13" s="36" t="s">
        <v>835</v>
      </c>
      <c r="C13" s="37" t="s">
        <v>218</v>
      </c>
      <c r="D13" s="38">
        <v>1</v>
      </c>
      <c r="E13" s="258">
        <v>144</v>
      </c>
      <c r="F13" s="303">
        <f t="shared" si="0"/>
        <v>160</v>
      </c>
      <c r="G13" s="304">
        <v>0</v>
      </c>
      <c r="H13" s="304">
        <v>160</v>
      </c>
      <c r="I13" s="304">
        <v>0</v>
      </c>
      <c r="J13" s="304">
        <v>0</v>
      </c>
      <c r="K13" s="304">
        <v>0</v>
      </c>
      <c r="L13" s="304">
        <v>0</v>
      </c>
      <c r="M13" s="305">
        <v>0</v>
      </c>
      <c r="N13" s="318" t="s">
        <v>1205</v>
      </c>
    </row>
    <row r="14" spans="1:14" s="370" customFormat="1" ht="29">
      <c r="A14" s="259" t="s">
        <v>1206</v>
      </c>
      <c r="B14" s="530" t="s">
        <v>1601</v>
      </c>
      <c r="C14" s="37" t="s">
        <v>218</v>
      </c>
      <c r="D14" s="38">
        <v>1</v>
      </c>
      <c r="E14" s="258">
        <v>0</v>
      </c>
      <c r="F14" s="303">
        <f t="shared" si="0"/>
        <v>88</v>
      </c>
      <c r="G14" s="304">
        <v>0</v>
      </c>
      <c r="H14" s="304">
        <v>88</v>
      </c>
      <c r="I14" s="304">
        <v>0</v>
      </c>
      <c r="J14" s="304">
        <v>0</v>
      </c>
      <c r="K14" s="304">
        <v>0</v>
      </c>
      <c r="L14" s="304">
        <v>0</v>
      </c>
      <c r="M14" s="305">
        <v>0</v>
      </c>
      <c r="N14" s="318" t="s">
        <v>1207</v>
      </c>
    </row>
    <row r="15" spans="1:14" s="370" customFormat="1">
      <c r="A15" s="259" t="s">
        <v>1208</v>
      </c>
      <c r="B15" s="601" t="s">
        <v>1602</v>
      </c>
      <c r="C15" s="37" t="s">
        <v>218</v>
      </c>
      <c r="D15" s="38">
        <v>1</v>
      </c>
      <c r="E15" s="258">
        <v>0</v>
      </c>
      <c r="F15" s="303">
        <f t="shared" si="0"/>
        <v>131</v>
      </c>
      <c r="G15" s="304">
        <v>0</v>
      </c>
      <c r="H15" s="304">
        <v>131</v>
      </c>
      <c r="I15" s="304">
        <v>0</v>
      </c>
      <c r="J15" s="304">
        <v>0</v>
      </c>
      <c r="K15" s="304">
        <v>0</v>
      </c>
      <c r="L15" s="304">
        <v>0</v>
      </c>
      <c r="M15" s="305">
        <v>0</v>
      </c>
      <c r="N15" s="318" t="s">
        <v>1203</v>
      </c>
    </row>
    <row r="16" spans="1:14" s="279" customFormat="1" ht="29">
      <c r="A16" s="259" t="s">
        <v>1210</v>
      </c>
      <c r="B16" s="259" t="s">
        <v>1209</v>
      </c>
      <c r="C16" s="37" t="s">
        <v>218</v>
      </c>
      <c r="D16" s="38">
        <v>1</v>
      </c>
      <c r="E16" s="258">
        <v>125</v>
      </c>
      <c r="F16" s="303">
        <f t="shared" si="0"/>
        <v>151</v>
      </c>
      <c r="G16" s="304">
        <v>0</v>
      </c>
      <c r="H16" s="304">
        <v>151</v>
      </c>
      <c r="I16" s="304">
        <v>0</v>
      </c>
      <c r="J16" s="304">
        <v>0</v>
      </c>
      <c r="K16" s="304">
        <v>0</v>
      </c>
      <c r="L16" s="304">
        <v>0</v>
      </c>
      <c r="M16" s="305">
        <v>0</v>
      </c>
      <c r="N16" s="318" t="s">
        <v>1205</v>
      </c>
    </row>
    <row r="17" spans="1:14" s="293" customFormat="1">
      <c r="A17" s="259" t="s">
        <v>843</v>
      </c>
      <c r="B17" s="259" t="s">
        <v>844</v>
      </c>
      <c r="C17" s="37" t="s">
        <v>218</v>
      </c>
      <c r="D17" s="38">
        <v>1</v>
      </c>
      <c r="E17" s="258">
        <v>99</v>
      </c>
      <c r="F17" s="303">
        <f t="shared" si="0"/>
        <v>104</v>
      </c>
      <c r="G17" s="363">
        <v>0</v>
      </c>
      <c r="H17" s="363">
        <v>104</v>
      </c>
      <c r="I17" s="363">
        <v>0</v>
      </c>
      <c r="J17" s="363">
        <v>0</v>
      </c>
      <c r="K17" s="363">
        <v>0</v>
      </c>
      <c r="L17" s="363">
        <v>0</v>
      </c>
      <c r="M17" s="366">
        <v>0</v>
      </c>
      <c r="N17" s="367"/>
    </row>
    <row r="18" spans="1:14" s="293" customFormat="1">
      <c r="A18" s="259" t="s">
        <v>845</v>
      </c>
      <c r="B18" s="259" t="s">
        <v>846</v>
      </c>
      <c r="C18" s="37" t="s">
        <v>218</v>
      </c>
      <c r="D18" s="38">
        <v>1</v>
      </c>
      <c r="E18" s="258">
        <v>89</v>
      </c>
      <c r="F18" s="303">
        <f t="shared" si="0"/>
        <v>93</v>
      </c>
      <c r="G18" s="363">
        <v>0</v>
      </c>
      <c r="H18" s="363">
        <v>0</v>
      </c>
      <c r="I18" s="363">
        <v>0</v>
      </c>
      <c r="J18" s="363">
        <v>0</v>
      </c>
      <c r="K18" s="363">
        <v>0</v>
      </c>
      <c r="L18" s="363">
        <v>0</v>
      </c>
      <c r="M18" s="366">
        <v>93</v>
      </c>
      <c r="N18" s="367"/>
    </row>
    <row r="19" spans="1:14" s="293" customFormat="1" ht="29">
      <c r="A19" s="530" t="s">
        <v>1211</v>
      </c>
      <c r="B19" s="530" t="s">
        <v>398</v>
      </c>
      <c r="C19" s="607" t="s">
        <v>218</v>
      </c>
      <c r="D19" s="38">
        <v>1</v>
      </c>
      <c r="E19" s="258">
        <v>84</v>
      </c>
      <c r="F19" s="303">
        <f t="shared" si="0"/>
        <v>88</v>
      </c>
      <c r="G19" s="304">
        <v>0</v>
      </c>
      <c r="H19" s="304">
        <v>88</v>
      </c>
      <c r="I19" s="304">
        <v>0</v>
      </c>
      <c r="J19" s="304">
        <v>0</v>
      </c>
      <c r="K19" s="304">
        <v>0</v>
      </c>
      <c r="L19" s="304">
        <v>0</v>
      </c>
      <c r="M19" s="305">
        <v>0</v>
      </c>
      <c r="N19" s="318" t="s">
        <v>1207</v>
      </c>
    </row>
    <row r="20" spans="1:14" s="293" customFormat="1">
      <c r="A20" s="259" t="s">
        <v>1604</v>
      </c>
      <c r="B20" s="530" t="s">
        <v>1603</v>
      </c>
      <c r="C20" s="37" t="s">
        <v>218</v>
      </c>
      <c r="D20" s="38"/>
      <c r="E20" s="258">
        <v>90</v>
      </c>
      <c r="F20" s="303">
        <f t="shared" si="0"/>
        <v>68</v>
      </c>
      <c r="G20" s="304">
        <v>0</v>
      </c>
      <c r="H20" s="304">
        <v>68</v>
      </c>
      <c r="I20" s="304">
        <v>0</v>
      </c>
      <c r="J20" s="304">
        <v>0</v>
      </c>
      <c r="K20" s="304">
        <v>0</v>
      </c>
      <c r="L20" s="304">
        <v>0</v>
      </c>
      <c r="M20" s="305">
        <v>0</v>
      </c>
      <c r="N20" s="318"/>
    </row>
    <row r="21" spans="1:14" s="293" customFormat="1">
      <c r="A21" s="259" t="s">
        <v>471</v>
      </c>
      <c r="B21" s="259" t="s">
        <v>837</v>
      </c>
      <c r="C21" s="37" t="s">
        <v>218</v>
      </c>
      <c r="D21" s="38">
        <v>1</v>
      </c>
      <c r="E21" s="258">
        <v>84</v>
      </c>
      <c r="F21" s="303">
        <f t="shared" si="0"/>
        <v>88</v>
      </c>
      <c r="G21" s="304">
        <v>0</v>
      </c>
      <c r="H21" s="304">
        <v>0</v>
      </c>
      <c r="I21" s="304">
        <v>0</v>
      </c>
      <c r="J21" s="304">
        <v>0</v>
      </c>
      <c r="K21" s="304">
        <v>0</v>
      </c>
      <c r="L21" s="304">
        <v>0</v>
      </c>
      <c r="M21" s="305">
        <v>88</v>
      </c>
      <c r="N21" s="318"/>
    </row>
    <row r="22" spans="1:14" s="293" customFormat="1">
      <c r="A22" s="259" t="s">
        <v>1159</v>
      </c>
      <c r="B22" s="259" t="s">
        <v>472</v>
      </c>
      <c r="C22" s="37" t="s">
        <v>218</v>
      </c>
      <c r="D22" s="38">
        <v>1</v>
      </c>
      <c r="E22" s="258">
        <v>136</v>
      </c>
      <c r="F22" s="303">
        <f t="shared" si="0"/>
        <v>151</v>
      </c>
      <c r="G22" s="304">
        <v>0</v>
      </c>
      <c r="H22" s="304">
        <v>151</v>
      </c>
      <c r="I22" s="304">
        <v>0</v>
      </c>
      <c r="J22" s="304">
        <v>0</v>
      </c>
      <c r="K22" s="304">
        <v>0</v>
      </c>
      <c r="L22" s="304">
        <v>0</v>
      </c>
      <c r="M22" s="305">
        <v>0</v>
      </c>
      <c r="N22" s="318"/>
    </row>
    <row r="23" spans="1:14" s="293" customFormat="1">
      <c r="A23" s="259" t="s">
        <v>1605</v>
      </c>
      <c r="B23" s="259" t="s">
        <v>474</v>
      </c>
      <c r="C23" s="607" t="s">
        <v>218</v>
      </c>
      <c r="D23" s="38">
        <v>1</v>
      </c>
      <c r="E23" s="258">
        <v>125</v>
      </c>
      <c r="F23" s="303">
        <f t="shared" si="0"/>
        <v>131</v>
      </c>
      <c r="G23" s="304">
        <v>0</v>
      </c>
      <c r="H23" s="304">
        <v>131</v>
      </c>
      <c r="I23" s="304">
        <v>0</v>
      </c>
      <c r="J23" s="304">
        <v>0</v>
      </c>
      <c r="K23" s="304">
        <v>0</v>
      </c>
      <c r="L23" s="304">
        <v>0</v>
      </c>
      <c r="M23" s="305">
        <v>0</v>
      </c>
      <c r="N23" s="318" t="s">
        <v>1163</v>
      </c>
    </row>
    <row r="24" spans="1:14" s="293" customFormat="1">
      <c r="A24" s="259" t="s">
        <v>1161</v>
      </c>
      <c r="B24" s="259" t="s">
        <v>836</v>
      </c>
      <c r="C24" s="37" t="s">
        <v>218</v>
      </c>
      <c r="D24" s="38">
        <v>1</v>
      </c>
      <c r="E24" s="258">
        <v>125</v>
      </c>
      <c r="F24" s="303">
        <f t="shared" si="0"/>
        <v>120</v>
      </c>
      <c r="G24" s="304">
        <v>0</v>
      </c>
      <c r="H24" s="304">
        <v>120</v>
      </c>
      <c r="I24" s="304">
        <v>0</v>
      </c>
      <c r="J24" s="304">
        <v>0</v>
      </c>
      <c r="K24" s="304">
        <v>0</v>
      </c>
      <c r="L24" s="304">
        <v>0</v>
      </c>
      <c r="M24" s="305">
        <v>0</v>
      </c>
      <c r="N24" s="318"/>
    </row>
    <row r="25" spans="1:14" s="293" customFormat="1">
      <c r="A25" s="57" t="s">
        <v>1607</v>
      </c>
      <c r="B25" s="601" t="s">
        <v>1606</v>
      </c>
      <c r="C25" s="37" t="s">
        <v>218</v>
      </c>
      <c r="D25" s="38">
        <v>1</v>
      </c>
      <c r="E25" s="258">
        <v>126</v>
      </c>
      <c r="F25" s="303">
        <f t="shared" si="0"/>
        <v>131</v>
      </c>
      <c r="G25" s="304">
        <v>0</v>
      </c>
      <c r="H25" s="304">
        <v>131</v>
      </c>
      <c r="I25" s="304">
        <v>0</v>
      </c>
      <c r="J25" s="304">
        <v>0</v>
      </c>
      <c r="K25" s="304">
        <v>0</v>
      </c>
      <c r="L25" s="304">
        <v>0</v>
      </c>
      <c r="M25" s="305">
        <v>0</v>
      </c>
      <c r="N25" s="318"/>
    </row>
    <row r="26" spans="1:14" s="293" customFormat="1">
      <c r="A26" s="259" t="s">
        <v>1162</v>
      </c>
      <c r="B26" s="846" t="s">
        <v>1578</v>
      </c>
      <c r="C26" s="37" t="s">
        <v>218</v>
      </c>
      <c r="D26" s="38">
        <v>1</v>
      </c>
      <c r="E26" s="258">
        <v>140</v>
      </c>
      <c r="F26" s="303">
        <f t="shared" si="0"/>
        <v>131</v>
      </c>
      <c r="G26" s="304">
        <v>0</v>
      </c>
      <c r="H26" s="304">
        <v>131</v>
      </c>
      <c r="I26" s="304">
        <v>0</v>
      </c>
      <c r="J26" s="304">
        <v>0</v>
      </c>
      <c r="K26" s="304">
        <v>0</v>
      </c>
      <c r="L26" s="304">
        <v>0</v>
      </c>
      <c r="M26" s="305">
        <v>0</v>
      </c>
      <c r="N26" s="318"/>
    </row>
    <row r="27" spans="1:14" s="293" customFormat="1">
      <c r="A27" s="259" t="s">
        <v>1609</v>
      </c>
      <c r="B27" s="530" t="s">
        <v>1608</v>
      </c>
      <c r="C27" s="37" t="s">
        <v>218</v>
      </c>
      <c r="D27" s="38">
        <v>1</v>
      </c>
      <c r="E27" s="258">
        <v>105</v>
      </c>
      <c r="F27" s="303">
        <f t="shared" si="0"/>
        <v>109</v>
      </c>
      <c r="G27" s="304">
        <v>0</v>
      </c>
      <c r="H27" s="304">
        <v>109</v>
      </c>
      <c r="I27" s="304">
        <v>0</v>
      </c>
      <c r="J27" s="304">
        <v>0</v>
      </c>
      <c r="K27" s="304">
        <v>0</v>
      </c>
      <c r="L27" s="304">
        <v>0</v>
      </c>
      <c r="M27" s="305">
        <v>0</v>
      </c>
      <c r="N27" s="318"/>
    </row>
    <row r="28" spans="1:14" s="293" customFormat="1">
      <c r="A28" s="259" t="s">
        <v>473</v>
      </c>
      <c r="B28" s="259" t="s">
        <v>1216</v>
      </c>
      <c r="C28" s="37" t="s">
        <v>218</v>
      </c>
      <c r="D28" s="38">
        <v>1</v>
      </c>
      <c r="E28" s="258">
        <v>105</v>
      </c>
      <c r="F28" s="303">
        <f t="shared" si="0"/>
        <v>109</v>
      </c>
      <c r="G28" s="304">
        <v>0</v>
      </c>
      <c r="H28" s="304">
        <v>109</v>
      </c>
      <c r="I28" s="304">
        <v>0</v>
      </c>
      <c r="J28" s="304">
        <v>0</v>
      </c>
      <c r="K28" s="304">
        <v>0</v>
      </c>
      <c r="L28" s="304">
        <v>0</v>
      </c>
      <c r="M28" s="305">
        <v>0</v>
      </c>
      <c r="N28" s="318"/>
    </row>
    <row r="29" spans="1:14" s="294" customFormat="1">
      <c r="A29" s="259" t="s">
        <v>473</v>
      </c>
      <c r="B29" s="259" t="s">
        <v>1217</v>
      </c>
      <c r="C29" s="37" t="s">
        <v>218</v>
      </c>
      <c r="D29" s="38">
        <v>1</v>
      </c>
      <c r="E29" s="258">
        <v>105</v>
      </c>
      <c r="F29" s="303">
        <f t="shared" si="0"/>
        <v>109</v>
      </c>
      <c r="G29" s="304">
        <v>0</v>
      </c>
      <c r="H29" s="304">
        <v>109</v>
      </c>
      <c r="I29" s="304">
        <v>0</v>
      </c>
      <c r="J29" s="304">
        <v>0</v>
      </c>
      <c r="K29" s="304">
        <v>0</v>
      </c>
      <c r="L29" s="304">
        <v>0</v>
      </c>
      <c r="M29" s="305">
        <v>0</v>
      </c>
      <c r="N29" s="318"/>
    </row>
    <row r="30" spans="1:14" s="293" customFormat="1" ht="29">
      <c r="A30" s="259" t="s">
        <v>473</v>
      </c>
      <c r="B30" s="259" t="s">
        <v>1218</v>
      </c>
      <c r="C30" s="607" t="s">
        <v>218</v>
      </c>
      <c r="D30" s="38">
        <v>1</v>
      </c>
      <c r="E30" s="258">
        <v>105</v>
      </c>
      <c r="F30" s="303">
        <f t="shared" si="0"/>
        <v>109</v>
      </c>
      <c r="G30" s="304">
        <v>0</v>
      </c>
      <c r="H30" s="304">
        <v>109</v>
      </c>
      <c r="I30" s="304">
        <v>0</v>
      </c>
      <c r="J30" s="304">
        <v>0</v>
      </c>
      <c r="K30" s="304">
        <v>0</v>
      </c>
      <c r="L30" s="304">
        <v>0</v>
      </c>
      <c r="M30" s="305">
        <v>0</v>
      </c>
      <c r="N30" s="318" t="s">
        <v>1164</v>
      </c>
    </row>
    <row r="31" spans="1:14" s="294" customFormat="1">
      <c r="A31" s="259" t="s">
        <v>1219</v>
      </c>
      <c r="B31" s="259" t="s">
        <v>1220</v>
      </c>
      <c r="C31" s="37" t="s">
        <v>218</v>
      </c>
      <c r="D31" s="38">
        <v>1</v>
      </c>
      <c r="E31" s="258">
        <v>0</v>
      </c>
      <c r="F31" s="303">
        <f t="shared" si="0"/>
        <v>109</v>
      </c>
      <c r="G31" s="304">
        <v>0</v>
      </c>
      <c r="H31" s="304">
        <v>109</v>
      </c>
      <c r="I31" s="304">
        <v>0</v>
      </c>
      <c r="J31" s="304">
        <v>0</v>
      </c>
      <c r="K31" s="304">
        <v>0</v>
      </c>
      <c r="L31" s="304">
        <v>0</v>
      </c>
      <c r="M31" s="305">
        <v>0</v>
      </c>
      <c r="N31" s="318"/>
    </row>
    <row r="32" spans="1:14" s="293" customFormat="1">
      <c r="A32" s="259" t="s">
        <v>1611</v>
      </c>
      <c r="B32" s="530" t="s">
        <v>1610</v>
      </c>
      <c r="C32" s="37" t="s">
        <v>218</v>
      </c>
      <c r="D32" s="38">
        <v>1</v>
      </c>
      <c r="E32" s="258">
        <v>105</v>
      </c>
      <c r="F32" s="303">
        <f t="shared" si="0"/>
        <v>109</v>
      </c>
      <c r="G32" s="304">
        <v>0</v>
      </c>
      <c r="H32" s="304">
        <v>109</v>
      </c>
      <c r="I32" s="304">
        <v>0</v>
      </c>
      <c r="J32" s="304">
        <v>0</v>
      </c>
      <c r="K32" s="304">
        <v>0</v>
      </c>
      <c r="L32" s="304">
        <v>0</v>
      </c>
      <c r="M32" s="305">
        <v>0</v>
      </c>
      <c r="N32" s="318"/>
    </row>
    <row r="33" spans="1:14" s="293" customFormat="1" ht="29">
      <c r="A33" s="57" t="s">
        <v>1612</v>
      </c>
      <c r="B33" s="57" t="s">
        <v>1613</v>
      </c>
      <c r="C33" s="37" t="s">
        <v>218</v>
      </c>
      <c r="D33" s="38"/>
      <c r="E33" s="258">
        <v>105</v>
      </c>
      <c r="F33" s="303">
        <f t="shared" si="0"/>
        <v>0</v>
      </c>
      <c r="G33" s="363">
        <v>0</v>
      </c>
      <c r="H33" s="363">
        <v>0</v>
      </c>
      <c r="I33" s="363">
        <v>0</v>
      </c>
      <c r="J33" s="363">
        <v>0</v>
      </c>
      <c r="K33" s="363">
        <v>0</v>
      </c>
      <c r="L33" s="363">
        <v>0</v>
      </c>
      <c r="M33" s="366">
        <v>0</v>
      </c>
      <c r="N33" s="721" t="s">
        <v>1215</v>
      </c>
    </row>
    <row r="34" spans="1:14" s="293" customFormat="1">
      <c r="A34" s="259" t="s">
        <v>475</v>
      </c>
      <c r="B34" s="847" t="s">
        <v>1579</v>
      </c>
      <c r="C34" s="37" t="s">
        <v>218</v>
      </c>
      <c r="D34" s="38">
        <v>1</v>
      </c>
      <c r="E34" s="258">
        <v>105</v>
      </c>
      <c r="F34" s="303">
        <f t="shared" si="0"/>
        <v>109</v>
      </c>
      <c r="G34" s="363">
        <v>0</v>
      </c>
      <c r="H34" s="363">
        <v>109</v>
      </c>
      <c r="I34" s="363">
        <v>0</v>
      </c>
      <c r="J34" s="363">
        <v>0</v>
      </c>
      <c r="K34" s="363">
        <v>0</v>
      </c>
      <c r="L34" s="363">
        <v>0</v>
      </c>
      <c r="M34" s="366">
        <v>0</v>
      </c>
      <c r="N34" s="721"/>
    </row>
    <row r="35" spans="1:14" s="293" customFormat="1">
      <c r="A35" s="259" t="s">
        <v>840</v>
      </c>
      <c r="B35" s="259" t="s">
        <v>839</v>
      </c>
      <c r="C35" s="37" t="s">
        <v>218</v>
      </c>
      <c r="D35" s="38">
        <v>1</v>
      </c>
      <c r="E35" s="258">
        <v>92</v>
      </c>
      <c r="F35" s="303">
        <f t="shared" si="0"/>
        <v>100</v>
      </c>
      <c r="G35" s="363">
        <v>0</v>
      </c>
      <c r="H35" s="363">
        <v>0</v>
      </c>
      <c r="I35" s="363">
        <v>0</v>
      </c>
      <c r="J35" s="363">
        <v>0</v>
      </c>
      <c r="K35" s="363">
        <v>0</v>
      </c>
      <c r="L35" s="363">
        <v>0</v>
      </c>
      <c r="M35" s="366">
        <v>100</v>
      </c>
      <c r="N35" s="364"/>
    </row>
    <row r="36" spans="1:14" s="293" customFormat="1">
      <c r="A36" s="259" t="s">
        <v>840</v>
      </c>
      <c r="B36" s="259" t="s">
        <v>838</v>
      </c>
      <c r="C36" s="37" t="s">
        <v>218</v>
      </c>
      <c r="D36" s="38">
        <v>1</v>
      </c>
      <c r="E36" s="365">
        <v>92</v>
      </c>
      <c r="F36" s="303">
        <f t="shared" si="0"/>
        <v>100</v>
      </c>
      <c r="G36" s="363">
        <v>0</v>
      </c>
      <c r="H36" s="363">
        <v>0</v>
      </c>
      <c r="I36" s="363">
        <v>0</v>
      </c>
      <c r="J36" s="363">
        <v>0</v>
      </c>
      <c r="K36" s="363">
        <v>0</v>
      </c>
      <c r="L36" s="363">
        <v>0</v>
      </c>
      <c r="M36" s="366">
        <v>100</v>
      </c>
      <c r="N36" s="364"/>
    </row>
    <row r="37" spans="1:14" s="293" customFormat="1">
      <c r="A37" s="57" t="s">
        <v>1614</v>
      </c>
      <c r="B37" s="530" t="s">
        <v>1615</v>
      </c>
      <c r="C37" s="607" t="s">
        <v>218</v>
      </c>
      <c r="D37" s="38">
        <v>1</v>
      </c>
      <c r="E37" s="258">
        <v>92</v>
      </c>
      <c r="F37" s="303">
        <f t="shared" si="0"/>
        <v>95</v>
      </c>
      <c r="G37" s="363">
        <v>0</v>
      </c>
      <c r="H37" s="363">
        <v>0</v>
      </c>
      <c r="I37" s="363">
        <v>0</v>
      </c>
      <c r="J37" s="363">
        <v>0</v>
      </c>
      <c r="K37" s="363">
        <v>0</v>
      </c>
      <c r="L37" s="363">
        <v>0</v>
      </c>
      <c r="M37" s="366">
        <v>95</v>
      </c>
      <c r="N37" s="367"/>
    </row>
    <row r="38" spans="1:14" s="293" customFormat="1">
      <c r="A38" s="259" t="s">
        <v>1611</v>
      </c>
      <c r="B38" s="259" t="s">
        <v>1212</v>
      </c>
      <c r="C38" s="37" t="s">
        <v>218</v>
      </c>
      <c r="D38" s="38">
        <v>1</v>
      </c>
      <c r="E38" s="258">
        <v>0</v>
      </c>
      <c r="F38" s="303">
        <f t="shared" si="0"/>
        <v>109</v>
      </c>
      <c r="G38" s="363">
        <v>109</v>
      </c>
      <c r="H38" s="363">
        <v>0</v>
      </c>
      <c r="I38" s="363">
        <v>0</v>
      </c>
      <c r="J38" s="363">
        <v>0</v>
      </c>
      <c r="K38" s="363">
        <v>0</v>
      </c>
      <c r="L38" s="363">
        <v>0</v>
      </c>
      <c r="M38" s="366">
        <v>0</v>
      </c>
      <c r="N38" s="367"/>
    </row>
    <row r="39" spans="1:14" s="293" customFormat="1">
      <c r="A39" s="259" t="s">
        <v>1616</v>
      </c>
      <c r="B39" s="260" t="s">
        <v>841</v>
      </c>
      <c r="C39" s="37" t="s">
        <v>218</v>
      </c>
      <c r="D39" s="38">
        <v>1</v>
      </c>
      <c r="E39" s="258">
        <v>92</v>
      </c>
      <c r="F39" s="303">
        <f t="shared" si="0"/>
        <v>100</v>
      </c>
      <c r="G39" s="363">
        <v>0</v>
      </c>
      <c r="H39" s="363">
        <v>100</v>
      </c>
      <c r="I39" s="363">
        <v>0</v>
      </c>
      <c r="J39" s="363">
        <v>0</v>
      </c>
      <c r="K39" s="363">
        <v>0</v>
      </c>
      <c r="L39" s="363">
        <v>0</v>
      </c>
      <c r="M39" s="366">
        <v>0</v>
      </c>
      <c r="N39" s="367"/>
    </row>
    <row r="40" spans="1:14" s="293" customFormat="1">
      <c r="A40" s="259" t="s">
        <v>1221</v>
      </c>
      <c r="B40" s="601" t="s">
        <v>1617</v>
      </c>
      <c r="C40" s="37" t="s">
        <v>218</v>
      </c>
      <c r="D40" s="38">
        <v>1</v>
      </c>
      <c r="E40" s="258">
        <v>102</v>
      </c>
      <c r="F40" s="303">
        <f t="shared" si="0"/>
        <v>106</v>
      </c>
      <c r="G40" s="363">
        <v>0</v>
      </c>
      <c r="H40" s="363">
        <v>106</v>
      </c>
      <c r="I40" s="363">
        <v>0</v>
      </c>
      <c r="J40" s="363">
        <v>0</v>
      </c>
      <c r="K40" s="363">
        <v>0</v>
      </c>
      <c r="L40" s="363">
        <v>0</v>
      </c>
      <c r="M40" s="366">
        <v>0</v>
      </c>
      <c r="N40" s="367"/>
    </row>
    <row r="41" spans="1:14" s="293" customFormat="1">
      <c r="A41" s="530" t="s">
        <v>1221</v>
      </c>
      <c r="B41" s="601" t="s">
        <v>1618</v>
      </c>
      <c r="C41" s="607" t="s">
        <v>218</v>
      </c>
      <c r="D41" s="38">
        <v>1</v>
      </c>
      <c r="E41" s="258">
        <v>0</v>
      </c>
      <c r="F41" s="303">
        <f t="shared" si="0"/>
        <v>109</v>
      </c>
      <c r="G41" s="304">
        <v>0</v>
      </c>
      <c r="H41" s="363">
        <v>109</v>
      </c>
      <c r="I41" s="304">
        <v>0</v>
      </c>
      <c r="J41" s="304">
        <v>0</v>
      </c>
      <c r="K41" s="304">
        <v>0</v>
      </c>
      <c r="L41" s="304">
        <v>0</v>
      </c>
      <c r="M41" s="305">
        <v>0</v>
      </c>
      <c r="N41" s="318"/>
    </row>
    <row r="42" spans="1:14" s="293" customFormat="1">
      <c r="A42" s="259" t="s">
        <v>1221</v>
      </c>
      <c r="B42" s="260" t="s">
        <v>398</v>
      </c>
      <c r="C42" s="37" t="s">
        <v>218</v>
      </c>
      <c r="D42" s="38">
        <v>1</v>
      </c>
      <c r="E42" s="258">
        <v>0</v>
      </c>
      <c r="F42" s="303">
        <f t="shared" si="0"/>
        <v>109</v>
      </c>
      <c r="G42" s="363">
        <v>0</v>
      </c>
      <c r="H42" s="363">
        <v>109</v>
      </c>
      <c r="I42" s="363">
        <v>0</v>
      </c>
      <c r="J42" s="363">
        <v>0</v>
      </c>
      <c r="K42" s="363">
        <v>0</v>
      </c>
      <c r="L42" s="363">
        <v>0</v>
      </c>
      <c r="M42" s="366">
        <v>0</v>
      </c>
      <c r="N42" s="367"/>
    </row>
    <row r="43" spans="1:14" s="293" customFormat="1">
      <c r="A43" s="259" t="s">
        <v>476</v>
      </c>
      <c r="B43" s="846" t="s">
        <v>1580</v>
      </c>
      <c r="C43" s="37" t="s">
        <v>218</v>
      </c>
      <c r="D43" s="38">
        <v>1</v>
      </c>
      <c r="E43" s="258">
        <v>105</v>
      </c>
      <c r="F43" s="303">
        <f t="shared" si="0"/>
        <v>109</v>
      </c>
      <c r="G43" s="363">
        <v>0</v>
      </c>
      <c r="H43" s="363">
        <v>0</v>
      </c>
      <c r="I43" s="363">
        <v>0</v>
      </c>
      <c r="J43" s="363">
        <v>0</v>
      </c>
      <c r="K43" s="363">
        <v>0</v>
      </c>
      <c r="L43" s="363">
        <v>0</v>
      </c>
      <c r="M43" s="366">
        <v>109</v>
      </c>
      <c r="N43" s="367"/>
    </row>
    <row r="44" spans="1:14" s="293" customFormat="1" ht="29">
      <c r="A44" s="259" t="s">
        <v>842</v>
      </c>
      <c r="B44" s="259" t="s">
        <v>1213</v>
      </c>
      <c r="C44" s="37" t="s">
        <v>218</v>
      </c>
      <c r="D44" s="38"/>
      <c r="E44" s="258">
        <v>117</v>
      </c>
      <c r="F44" s="303">
        <f t="shared" ref="F44" si="1">SUM(G44:M44)</f>
        <v>0</v>
      </c>
      <c r="G44" s="363">
        <v>0</v>
      </c>
      <c r="H44" s="363">
        <v>0</v>
      </c>
      <c r="I44" s="363">
        <v>0</v>
      </c>
      <c r="J44" s="363">
        <v>0</v>
      </c>
      <c r="K44" s="363">
        <v>0</v>
      </c>
      <c r="L44" s="363">
        <v>0</v>
      </c>
      <c r="M44" s="366">
        <v>0</v>
      </c>
      <c r="N44" s="367" t="s">
        <v>1214</v>
      </c>
    </row>
    <row r="45" spans="1:14">
      <c r="A45" s="40" t="s">
        <v>219</v>
      </c>
      <c r="B45" s="260"/>
      <c r="C45" s="261"/>
      <c r="D45" s="41">
        <f t="shared" ref="D45:M45" si="2">SUM(D7:D44)</f>
        <v>35</v>
      </c>
      <c r="E45" s="43">
        <f t="shared" si="2"/>
        <v>3569</v>
      </c>
      <c r="F45" s="43">
        <f t="shared" si="2"/>
        <v>4288</v>
      </c>
      <c r="G45" s="43">
        <f t="shared" si="2"/>
        <v>109</v>
      </c>
      <c r="H45" s="43">
        <f t="shared" si="2"/>
        <v>3443</v>
      </c>
      <c r="I45" s="43">
        <f t="shared" si="2"/>
        <v>0</v>
      </c>
      <c r="J45" s="43">
        <f t="shared" si="2"/>
        <v>151</v>
      </c>
      <c r="K45" s="43">
        <f t="shared" si="2"/>
        <v>0</v>
      </c>
      <c r="L45" s="43">
        <f t="shared" si="2"/>
        <v>0</v>
      </c>
      <c r="M45" s="43">
        <f t="shared" si="2"/>
        <v>585</v>
      </c>
      <c r="N45" s="57"/>
    </row>
    <row r="46" spans="1:14">
      <c r="A46" s="67" t="s">
        <v>220</v>
      </c>
      <c r="B46" s="68"/>
      <c r="C46" s="69"/>
      <c r="D46" s="68"/>
      <c r="E46" s="68"/>
      <c r="F46" s="68"/>
      <c r="G46" s="68"/>
      <c r="H46" s="68"/>
      <c r="I46" s="68"/>
      <c r="J46" s="68"/>
      <c r="K46" s="68"/>
      <c r="L46" s="68"/>
      <c r="M46" s="68"/>
      <c r="N46" s="68"/>
    </row>
    <row r="47" spans="1:14">
      <c r="A47" s="259" t="s">
        <v>296</v>
      </c>
      <c r="B47" s="259"/>
      <c r="C47" s="44">
        <v>253</v>
      </c>
      <c r="D47" s="45"/>
      <c r="E47" s="161">
        <v>0</v>
      </c>
      <c r="F47" s="162">
        <f>SUM(G47:M47)</f>
        <v>0</v>
      </c>
      <c r="G47" s="163"/>
      <c r="H47" s="163"/>
      <c r="I47" s="163"/>
      <c r="J47" s="163">
        <v>0</v>
      </c>
      <c r="K47" s="163">
        <v>0</v>
      </c>
      <c r="L47" s="163">
        <v>0</v>
      </c>
      <c r="M47" s="164">
        <v>0</v>
      </c>
      <c r="N47" s="371"/>
    </row>
    <row r="48" spans="1:14">
      <c r="A48" s="259" t="s">
        <v>296</v>
      </c>
      <c r="B48" s="259"/>
      <c r="C48" s="44">
        <v>253</v>
      </c>
      <c r="D48" s="45"/>
      <c r="E48" s="161">
        <v>0</v>
      </c>
      <c r="F48" s="162">
        <f>SUM(G48:M48)</f>
        <v>0</v>
      </c>
      <c r="G48" s="163"/>
      <c r="H48" s="163"/>
      <c r="I48" s="163"/>
      <c r="J48" s="163">
        <v>0</v>
      </c>
      <c r="K48" s="163">
        <v>0</v>
      </c>
      <c r="L48" s="163">
        <v>0</v>
      </c>
      <c r="M48" s="164">
        <v>0</v>
      </c>
      <c r="N48" s="36"/>
    </row>
    <row r="49" spans="1:14">
      <c r="A49" s="259" t="s">
        <v>296</v>
      </c>
      <c r="B49" s="259"/>
      <c r="C49" s="44">
        <v>253</v>
      </c>
      <c r="D49" s="262"/>
      <c r="E49" s="161">
        <v>0</v>
      </c>
      <c r="F49" s="162">
        <f>SUM(G49:M49)</f>
        <v>0</v>
      </c>
      <c r="G49" s="163"/>
      <c r="H49" s="163"/>
      <c r="I49" s="163"/>
      <c r="J49" s="163">
        <v>0</v>
      </c>
      <c r="K49" s="163">
        <v>0</v>
      </c>
      <c r="L49" s="163">
        <v>0</v>
      </c>
      <c r="M49" s="164">
        <v>0</v>
      </c>
      <c r="N49" s="57"/>
    </row>
    <row r="50" spans="1:14" s="7" customFormat="1">
      <c r="A50" s="259" t="s">
        <v>315</v>
      </c>
      <c r="B50" s="259"/>
      <c r="C50" s="44">
        <v>253</v>
      </c>
      <c r="D50" s="262"/>
      <c r="E50" s="161">
        <v>0</v>
      </c>
      <c r="F50" s="162">
        <f>SUM(G50:M50)</f>
        <v>0</v>
      </c>
      <c r="G50" s="163"/>
      <c r="H50" s="163"/>
      <c r="I50" s="163"/>
      <c r="J50" s="163">
        <v>0</v>
      </c>
      <c r="K50" s="163">
        <v>0</v>
      </c>
      <c r="L50" s="163">
        <v>0</v>
      </c>
      <c r="M50" s="164">
        <v>0</v>
      </c>
      <c r="N50" s="36"/>
    </row>
    <row r="51" spans="1:14">
      <c r="A51" s="40" t="s">
        <v>225</v>
      </c>
      <c r="B51" s="260"/>
      <c r="C51" s="261"/>
      <c r="D51" s="262">
        <f>SUM(D47:D50)</f>
        <v>0</v>
      </c>
      <c r="E51" s="42">
        <v>0</v>
      </c>
      <c r="F51" s="43">
        <f>SUM(F47:F50)</f>
        <v>0</v>
      </c>
      <c r="G51" s="43">
        <f t="shared" ref="G51:M51" si="3">SUM(G47:G50)</f>
        <v>0</v>
      </c>
      <c r="H51" s="43">
        <f t="shared" si="3"/>
        <v>0</v>
      </c>
      <c r="I51" s="43">
        <f t="shared" si="3"/>
        <v>0</v>
      </c>
      <c r="J51" s="43">
        <f t="shared" si="3"/>
        <v>0</v>
      </c>
      <c r="K51" s="43">
        <f t="shared" si="3"/>
        <v>0</v>
      </c>
      <c r="L51" s="43">
        <f t="shared" si="3"/>
        <v>0</v>
      </c>
      <c r="M51" s="43">
        <f t="shared" si="3"/>
        <v>0</v>
      </c>
      <c r="N51" s="57"/>
    </row>
    <row r="52" spans="1:14" s="7" customFormat="1">
      <c r="A52" s="67" t="s">
        <v>226</v>
      </c>
      <c r="B52" s="68"/>
      <c r="C52" s="69"/>
      <c r="D52" s="68"/>
      <c r="E52" s="68"/>
      <c r="F52" s="68"/>
      <c r="G52" s="68"/>
      <c r="H52" s="68"/>
      <c r="I52" s="68"/>
      <c r="J52" s="68"/>
      <c r="K52" s="68"/>
      <c r="L52" s="68"/>
      <c r="M52" s="68"/>
      <c r="N52" s="68"/>
    </row>
    <row r="53" spans="1:14" s="279" customFormat="1" ht="58">
      <c r="A53" s="295" t="s">
        <v>227</v>
      </c>
      <c r="B53" s="36"/>
      <c r="C53" s="37" t="s">
        <v>228</v>
      </c>
      <c r="D53" s="38">
        <v>0</v>
      </c>
      <c r="E53" s="161">
        <v>59</v>
      </c>
      <c r="F53" s="162">
        <f t="shared" ref="F53:F66" si="4">SUM(G53:M53)</f>
        <v>131</v>
      </c>
      <c r="G53" s="304">
        <v>4</v>
      </c>
      <c r="H53" s="304">
        <v>106</v>
      </c>
      <c r="I53" s="304">
        <v>0</v>
      </c>
      <c r="J53" s="304">
        <v>11</v>
      </c>
      <c r="K53" s="304">
        <v>0</v>
      </c>
      <c r="L53" s="304">
        <v>0</v>
      </c>
      <c r="M53" s="305">
        <v>10</v>
      </c>
      <c r="N53" s="318" t="s">
        <v>1581</v>
      </c>
    </row>
    <row r="54" spans="1:14" s="370" customFormat="1">
      <c r="A54" s="295" t="s">
        <v>227</v>
      </c>
      <c r="B54" s="36"/>
      <c r="C54" s="37" t="s">
        <v>228</v>
      </c>
      <c r="D54" s="38"/>
      <c r="E54" s="161">
        <v>0</v>
      </c>
      <c r="F54" s="162">
        <f t="shared" si="4"/>
        <v>0</v>
      </c>
      <c r="G54" s="304">
        <v>0</v>
      </c>
      <c r="H54" s="304">
        <v>0</v>
      </c>
      <c r="I54" s="304">
        <v>0</v>
      </c>
      <c r="J54" s="304">
        <v>0</v>
      </c>
      <c r="K54" s="304">
        <v>0</v>
      </c>
      <c r="L54" s="304">
        <v>0</v>
      </c>
      <c r="M54" s="305">
        <v>0</v>
      </c>
      <c r="N54" s="320"/>
    </row>
    <row r="55" spans="1:14" s="279" customFormat="1">
      <c r="A55" s="295" t="s">
        <v>229</v>
      </c>
      <c r="B55" s="36"/>
      <c r="C55" s="44" t="s">
        <v>230</v>
      </c>
      <c r="D55" s="45"/>
      <c r="E55" s="161">
        <v>0</v>
      </c>
      <c r="F55" s="162">
        <f t="shared" si="4"/>
        <v>0</v>
      </c>
      <c r="G55" s="304">
        <v>0</v>
      </c>
      <c r="H55" s="304">
        <v>0</v>
      </c>
      <c r="I55" s="304">
        <v>0</v>
      </c>
      <c r="J55" s="304">
        <v>0</v>
      </c>
      <c r="K55" s="304">
        <v>0</v>
      </c>
      <c r="L55" s="304">
        <v>0</v>
      </c>
      <c r="M55" s="305">
        <v>0</v>
      </c>
      <c r="N55" s="318"/>
    </row>
    <row r="56" spans="1:14" s="279" customFormat="1">
      <c r="A56" s="295" t="s">
        <v>231</v>
      </c>
      <c r="B56" s="36"/>
      <c r="C56" s="44" t="s">
        <v>232</v>
      </c>
      <c r="D56" s="45"/>
      <c r="E56" s="161">
        <v>0</v>
      </c>
      <c r="F56" s="162">
        <f t="shared" si="4"/>
        <v>0</v>
      </c>
      <c r="G56" s="304">
        <v>0</v>
      </c>
      <c r="H56" s="304">
        <v>0</v>
      </c>
      <c r="I56" s="304">
        <v>0</v>
      </c>
      <c r="J56" s="304"/>
      <c r="K56" s="304">
        <v>0</v>
      </c>
      <c r="L56" s="304">
        <v>0</v>
      </c>
      <c r="M56" s="305">
        <v>0</v>
      </c>
      <c r="N56" s="318"/>
    </row>
    <row r="57" spans="1:14" s="279" customFormat="1">
      <c r="A57" s="295" t="s">
        <v>233</v>
      </c>
      <c r="B57" s="36"/>
      <c r="C57" s="44" t="s">
        <v>234</v>
      </c>
      <c r="D57" s="45"/>
      <c r="E57" s="161">
        <v>0</v>
      </c>
      <c r="F57" s="162">
        <f t="shared" si="4"/>
        <v>0</v>
      </c>
      <c r="G57" s="304">
        <v>0</v>
      </c>
      <c r="H57" s="304">
        <v>0</v>
      </c>
      <c r="I57" s="304">
        <v>0</v>
      </c>
      <c r="J57" s="304">
        <v>0</v>
      </c>
      <c r="K57" s="304">
        <v>0</v>
      </c>
      <c r="L57" s="304">
        <v>0</v>
      </c>
      <c r="M57" s="305">
        <v>0</v>
      </c>
      <c r="N57" s="318"/>
    </row>
    <row r="58" spans="1:14" s="279" customFormat="1">
      <c r="A58" s="295" t="s">
        <v>235</v>
      </c>
      <c r="B58" s="36"/>
      <c r="C58" s="44">
        <v>251</v>
      </c>
      <c r="D58" s="45"/>
      <c r="E58" s="161">
        <v>0</v>
      </c>
      <c r="F58" s="162">
        <f t="shared" si="4"/>
        <v>0</v>
      </c>
      <c r="G58" s="304">
        <v>0</v>
      </c>
      <c r="H58" s="304">
        <v>0</v>
      </c>
      <c r="I58" s="304">
        <v>0</v>
      </c>
      <c r="J58" s="304">
        <v>0</v>
      </c>
      <c r="K58" s="304">
        <v>0</v>
      </c>
      <c r="L58" s="304">
        <v>0</v>
      </c>
      <c r="M58" s="305">
        <v>0</v>
      </c>
      <c r="N58" s="318"/>
    </row>
    <row r="59" spans="1:14" s="279" customFormat="1">
      <c r="A59" s="295" t="s">
        <v>242</v>
      </c>
      <c r="B59" s="36" t="s">
        <v>477</v>
      </c>
      <c r="C59" s="44">
        <v>252</v>
      </c>
      <c r="D59" s="45"/>
      <c r="E59" s="161">
        <v>16</v>
      </c>
      <c r="F59" s="162">
        <f t="shared" si="4"/>
        <v>15</v>
      </c>
      <c r="G59" s="304">
        <v>0</v>
      </c>
      <c r="H59" s="304">
        <v>15</v>
      </c>
      <c r="I59" s="304">
        <v>0</v>
      </c>
      <c r="J59" s="304">
        <v>0</v>
      </c>
      <c r="K59" s="304">
        <v>0</v>
      </c>
      <c r="L59" s="304">
        <v>0</v>
      </c>
      <c r="M59" s="305">
        <v>0</v>
      </c>
      <c r="N59" s="318"/>
    </row>
    <row r="60" spans="1:14" s="279" customFormat="1" ht="29">
      <c r="A60" s="295" t="s">
        <v>243</v>
      </c>
      <c r="B60" s="36"/>
      <c r="C60" s="44">
        <v>252</v>
      </c>
      <c r="D60" s="45"/>
      <c r="E60" s="161">
        <v>21</v>
      </c>
      <c r="F60" s="162">
        <f t="shared" si="4"/>
        <v>15</v>
      </c>
      <c r="G60" s="304">
        <v>0</v>
      </c>
      <c r="H60" s="304">
        <v>11</v>
      </c>
      <c r="I60" s="304">
        <v>0</v>
      </c>
      <c r="J60" s="304">
        <v>1</v>
      </c>
      <c r="K60" s="304">
        <v>0</v>
      </c>
      <c r="L60" s="304">
        <v>0</v>
      </c>
      <c r="M60" s="305">
        <v>3</v>
      </c>
      <c r="N60" s="318" t="s">
        <v>1582</v>
      </c>
    </row>
    <row r="61" spans="1:14" s="279" customFormat="1">
      <c r="A61" s="295" t="s">
        <v>244</v>
      </c>
      <c r="B61" s="36"/>
      <c r="C61" s="44">
        <v>253</v>
      </c>
      <c r="D61" s="259"/>
      <c r="E61" s="161">
        <v>0</v>
      </c>
      <c r="F61" s="162">
        <f t="shared" si="4"/>
        <v>0</v>
      </c>
      <c r="G61" s="304">
        <v>0</v>
      </c>
      <c r="H61" s="304">
        <v>0</v>
      </c>
      <c r="I61" s="304">
        <v>0</v>
      </c>
      <c r="J61" s="304">
        <v>0</v>
      </c>
      <c r="K61" s="304">
        <v>0</v>
      </c>
      <c r="L61" s="304">
        <v>0</v>
      </c>
      <c r="M61" s="305">
        <v>0</v>
      </c>
      <c r="N61" s="318"/>
    </row>
    <row r="62" spans="1:14" s="279" customFormat="1">
      <c r="A62" s="295" t="s">
        <v>245</v>
      </c>
      <c r="B62" s="36"/>
      <c r="C62" s="44">
        <v>255</v>
      </c>
      <c r="D62" s="259"/>
      <c r="E62" s="161">
        <v>0</v>
      </c>
      <c r="F62" s="162">
        <f t="shared" si="4"/>
        <v>0</v>
      </c>
      <c r="G62" s="304">
        <v>0</v>
      </c>
      <c r="H62" s="304">
        <v>0</v>
      </c>
      <c r="I62" s="304">
        <v>0</v>
      </c>
      <c r="J62" s="304">
        <v>0</v>
      </c>
      <c r="K62" s="304">
        <v>0</v>
      </c>
      <c r="L62" s="304">
        <v>0</v>
      </c>
      <c r="M62" s="305">
        <v>0</v>
      </c>
      <c r="N62" s="318"/>
    </row>
    <row r="63" spans="1:14" s="279" customFormat="1">
      <c r="A63" s="295" t="s">
        <v>246</v>
      </c>
      <c r="B63" s="36"/>
      <c r="C63" s="44">
        <v>256</v>
      </c>
      <c r="D63" s="259"/>
      <c r="E63" s="161">
        <v>0</v>
      </c>
      <c r="F63" s="162">
        <f t="shared" si="4"/>
        <v>0</v>
      </c>
      <c r="G63" s="304">
        <v>0</v>
      </c>
      <c r="H63" s="304">
        <v>0</v>
      </c>
      <c r="I63" s="304">
        <v>0</v>
      </c>
      <c r="J63" s="304">
        <v>0</v>
      </c>
      <c r="K63" s="304">
        <v>0</v>
      </c>
      <c r="L63" s="304">
        <v>0</v>
      </c>
      <c r="M63" s="305">
        <v>0</v>
      </c>
      <c r="N63" s="318"/>
    </row>
    <row r="64" spans="1:14" s="279" customFormat="1">
      <c r="A64" s="295" t="s">
        <v>247</v>
      </c>
      <c r="B64" s="36"/>
      <c r="C64" s="44">
        <v>257</v>
      </c>
      <c r="D64" s="259"/>
      <c r="E64" s="161">
        <v>0</v>
      </c>
      <c r="F64" s="162">
        <f t="shared" si="4"/>
        <v>0</v>
      </c>
      <c r="G64" s="304">
        <v>0</v>
      </c>
      <c r="H64" s="304">
        <v>0</v>
      </c>
      <c r="I64" s="304">
        <v>0</v>
      </c>
      <c r="J64" s="304">
        <v>0</v>
      </c>
      <c r="K64" s="304">
        <v>0</v>
      </c>
      <c r="L64" s="304">
        <v>0</v>
      </c>
      <c r="M64" s="305">
        <v>0</v>
      </c>
      <c r="N64" s="318"/>
    </row>
    <row r="65" spans="1:14" s="279" customFormat="1">
      <c r="A65" s="295" t="s">
        <v>248</v>
      </c>
      <c r="B65" s="36"/>
      <c r="C65" s="44" t="s">
        <v>249</v>
      </c>
      <c r="D65" s="259"/>
      <c r="E65" s="161">
        <v>20</v>
      </c>
      <c r="F65" s="162">
        <f t="shared" si="4"/>
        <v>39</v>
      </c>
      <c r="G65" s="304">
        <v>4</v>
      </c>
      <c r="H65" s="304">
        <v>35</v>
      </c>
      <c r="I65" s="304">
        <v>0</v>
      </c>
      <c r="J65" s="304">
        <v>0</v>
      </c>
      <c r="K65" s="304">
        <v>0</v>
      </c>
      <c r="L65" s="304">
        <v>0</v>
      </c>
      <c r="M65" s="305">
        <v>0</v>
      </c>
      <c r="N65" s="318"/>
    </row>
    <row r="66" spans="1:14" s="279" customFormat="1">
      <c r="A66" s="296" t="s">
        <v>250</v>
      </c>
      <c r="B66" s="36"/>
      <c r="C66" s="261" t="s">
        <v>251</v>
      </c>
      <c r="D66" s="260"/>
      <c r="E66" s="161">
        <v>20</v>
      </c>
      <c r="F66" s="162">
        <f t="shared" si="4"/>
        <v>20</v>
      </c>
      <c r="G66" s="304">
        <v>0</v>
      </c>
      <c r="H66" s="304">
        <v>20</v>
      </c>
      <c r="I66" s="304">
        <v>0</v>
      </c>
      <c r="J66" s="304">
        <v>0</v>
      </c>
      <c r="K66" s="304">
        <v>0</v>
      </c>
      <c r="L66" s="304">
        <v>0</v>
      </c>
      <c r="M66" s="305">
        <v>0</v>
      </c>
      <c r="N66" s="318"/>
    </row>
    <row r="67" spans="1:14">
      <c r="A67" s="40" t="s">
        <v>254</v>
      </c>
      <c r="B67" s="260"/>
      <c r="C67" s="261"/>
      <c r="D67" s="262"/>
      <c r="E67" s="43">
        <f t="shared" ref="E67:M67" si="5">SUM(E53:E66)</f>
        <v>136</v>
      </c>
      <c r="F67" s="43">
        <f t="shared" si="5"/>
        <v>220</v>
      </c>
      <c r="G67" s="43">
        <f t="shared" si="5"/>
        <v>8</v>
      </c>
      <c r="H67" s="43">
        <f t="shared" si="5"/>
        <v>187</v>
      </c>
      <c r="I67" s="43">
        <f t="shared" si="5"/>
        <v>0</v>
      </c>
      <c r="J67" s="43">
        <f t="shared" si="5"/>
        <v>12</v>
      </c>
      <c r="K67" s="43">
        <f t="shared" si="5"/>
        <v>0</v>
      </c>
      <c r="L67" s="43">
        <f t="shared" si="5"/>
        <v>0</v>
      </c>
      <c r="M67" s="43">
        <f t="shared" si="5"/>
        <v>13</v>
      </c>
      <c r="N67" s="57"/>
    </row>
    <row r="68" spans="1:14" s="149" customFormat="1">
      <c r="A68" s="40" t="s">
        <v>255</v>
      </c>
      <c r="B68" s="51"/>
      <c r="C68" s="147"/>
      <c r="D68" s="262"/>
      <c r="E68" s="236"/>
      <c r="F68" s="235">
        <f>SUM(G68:L68)</f>
        <v>0</v>
      </c>
      <c r="G68" s="235"/>
      <c r="H68" s="235">
        <v>0</v>
      </c>
      <c r="I68" s="235"/>
      <c r="J68" s="235"/>
      <c r="K68" s="235"/>
      <c r="L68" s="235"/>
      <c r="M68" s="235"/>
      <c r="N68" s="348"/>
    </row>
    <row r="69" spans="1:14">
      <c r="A69" s="40" t="s">
        <v>256</v>
      </c>
      <c r="B69" s="46"/>
      <c r="C69" s="47"/>
      <c r="D69" s="175">
        <f>D67+D51+D45</f>
        <v>35</v>
      </c>
      <c r="E69" s="42">
        <f>E67+E51+E45-E68</f>
        <v>3705</v>
      </c>
      <c r="F69" s="173">
        <f t="shared" ref="F69:M69" si="6">F67+F51+F45-F68</f>
        <v>4508</v>
      </c>
      <c r="G69" s="173">
        <f t="shared" si="6"/>
        <v>117</v>
      </c>
      <c r="H69" s="173">
        <f t="shared" si="6"/>
        <v>3630</v>
      </c>
      <c r="I69" s="173">
        <f t="shared" si="6"/>
        <v>0</v>
      </c>
      <c r="J69" s="173">
        <f t="shared" si="6"/>
        <v>163</v>
      </c>
      <c r="K69" s="173">
        <f t="shared" si="6"/>
        <v>0</v>
      </c>
      <c r="L69" s="173">
        <f t="shared" si="6"/>
        <v>0</v>
      </c>
      <c r="M69" s="173">
        <f t="shared" si="6"/>
        <v>598</v>
      </c>
      <c r="N69" s="174"/>
    </row>
    <row r="70" spans="1:14" s="279" customFormat="1">
      <c r="A70" s="56"/>
      <c r="B70" s="370"/>
      <c r="C70" s="639"/>
      <c r="D70" s="295" t="s">
        <v>478</v>
      </c>
      <c r="E70" s="162">
        <v>1448</v>
      </c>
      <c r="F70" s="162">
        <f>G73+H73+I73+J73</f>
        <v>1803.2</v>
      </c>
      <c r="G70" s="370"/>
      <c r="H70" s="370"/>
      <c r="I70" s="370"/>
      <c r="J70" s="370"/>
      <c r="K70" s="370"/>
      <c r="L70" s="370"/>
      <c r="M70" s="370"/>
      <c r="N70" s="370"/>
    </row>
    <row r="71" spans="1:14" s="279" customFormat="1" ht="29">
      <c r="A71" s="921" t="s">
        <v>390</v>
      </c>
      <c r="B71" s="922"/>
      <c r="C71" s="922"/>
      <c r="D71" s="922"/>
      <c r="E71" s="923"/>
      <c r="F71" s="292" t="s">
        <v>391</v>
      </c>
      <c r="G71" s="304" t="s">
        <v>0</v>
      </c>
      <c r="H71" s="304" t="s">
        <v>1</v>
      </c>
      <c r="I71" s="304" t="s">
        <v>2</v>
      </c>
      <c r="J71" s="304" t="s">
        <v>3</v>
      </c>
      <c r="K71" s="304" t="s">
        <v>4</v>
      </c>
      <c r="L71" s="304" t="s">
        <v>26</v>
      </c>
      <c r="M71" s="291" t="s">
        <v>214</v>
      </c>
      <c r="N71" s="348" t="s">
        <v>215</v>
      </c>
    </row>
    <row r="72" spans="1:14" s="279" customFormat="1">
      <c r="A72" s="924" t="s">
        <v>479</v>
      </c>
      <c r="B72" s="925"/>
      <c r="C72" s="925"/>
      <c r="D72" s="926"/>
      <c r="E72" s="89"/>
      <c r="F72" s="86"/>
      <c r="G72" s="419">
        <v>0.08</v>
      </c>
      <c r="H72" s="419">
        <v>0.23</v>
      </c>
      <c r="I72" s="419">
        <v>0.05</v>
      </c>
      <c r="J72" s="419">
        <v>0.04</v>
      </c>
      <c r="K72" s="419">
        <v>0</v>
      </c>
      <c r="L72" s="419"/>
      <c r="M72" s="419">
        <v>0.6</v>
      </c>
      <c r="N72" s="87"/>
    </row>
    <row r="73" spans="1:14" s="279" customFormat="1" ht="15" thickBot="1">
      <c r="A73" s="915" t="s">
        <v>462</v>
      </c>
      <c r="B73" s="916"/>
      <c r="C73" s="916"/>
      <c r="D73" s="917"/>
      <c r="E73" s="81"/>
      <c r="F73" s="82">
        <f>F69</f>
        <v>4508</v>
      </c>
      <c r="G73" s="83">
        <f>$F73*G72</f>
        <v>360.64</v>
      </c>
      <c r="H73" s="83">
        <f t="shared" ref="H73:M73" si="7">$F73*H72</f>
        <v>1036.8400000000001</v>
      </c>
      <c r="I73" s="83">
        <f t="shared" si="7"/>
        <v>225.4</v>
      </c>
      <c r="J73" s="83">
        <f t="shared" si="7"/>
        <v>180.32</v>
      </c>
      <c r="K73" s="83">
        <f t="shared" si="7"/>
        <v>0</v>
      </c>
      <c r="L73" s="83">
        <f t="shared" si="7"/>
        <v>0</v>
      </c>
      <c r="M73" s="84">
        <f t="shared" si="7"/>
        <v>2704.7999999999997</v>
      </c>
      <c r="N73" s="85"/>
    </row>
    <row r="74" spans="1:14" s="279" customFormat="1">
      <c r="A74" s="918" t="s">
        <v>394</v>
      </c>
      <c r="B74" s="919"/>
      <c r="C74" s="919"/>
      <c r="D74" s="920"/>
      <c r="E74" s="76"/>
      <c r="F74" s="77"/>
      <c r="G74" s="78">
        <f t="shared" ref="G74:M74" si="8">G69-G73</f>
        <v>-243.64</v>
      </c>
      <c r="H74" s="78">
        <f t="shared" si="8"/>
        <v>2593.16</v>
      </c>
      <c r="I74" s="78">
        <f t="shared" si="8"/>
        <v>-225.4</v>
      </c>
      <c r="J74" s="78">
        <f t="shared" si="8"/>
        <v>-17.319999999999993</v>
      </c>
      <c r="K74" s="78">
        <f t="shared" si="8"/>
        <v>0</v>
      </c>
      <c r="L74" s="78">
        <f t="shared" si="8"/>
        <v>0</v>
      </c>
      <c r="M74" s="79">
        <f t="shared" si="8"/>
        <v>-2106.7999999999997</v>
      </c>
      <c r="N74" s="80"/>
    </row>
    <row r="75" spans="1:14">
      <c r="A75" s="31"/>
      <c r="B75" s="31"/>
      <c r="C75" s="32"/>
      <c r="D75" s="31"/>
      <c r="E75" s="31"/>
      <c r="F75" s="31"/>
      <c r="G75" s="31"/>
      <c r="H75" s="31"/>
      <c r="I75" s="31"/>
      <c r="J75" s="31"/>
      <c r="K75" s="31"/>
      <c r="L75" s="31"/>
      <c r="M75" s="31"/>
      <c r="N75" s="31"/>
    </row>
    <row r="77" spans="1:14" s="370" customFormat="1" ht="15" thickBot="1">
      <c r="A77" s="31"/>
      <c r="B77" s="31"/>
      <c r="C77" s="32"/>
      <c r="D77" s="31"/>
      <c r="E77" s="31"/>
      <c r="F77" s="31"/>
      <c r="G77" s="31"/>
      <c r="H77" s="31"/>
      <c r="I77" s="31"/>
      <c r="J77" s="31"/>
      <c r="K77" s="31"/>
      <c r="L77" s="31"/>
      <c r="M77" s="31"/>
      <c r="N77" s="536"/>
    </row>
    <row r="78" spans="1:14" s="370" customFormat="1" ht="15.5">
      <c r="A78" s="873" t="s">
        <v>257</v>
      </c>
      <c r="B78" s="874"/>
      <c r="C78" s="874"/>
      <c r="D78" s="874"/>
      <c r="E78" s="874"/>
      <c r="F78" s="874"/>
      <c r="G78" s="550"/>
      <c r="H78" s="31"/>
      <c r="I78" s="31"/>
      <c r="J78" s="31"/>
      <c r="K78" s="31"/>
      <c r="L78" s="31"/>
      <c r="M78" s="31"/>
      <c r="N78" s="536"/>
    </row>
    <row r="79" spans="1:14" s="370" customFormat="1" ht="15.5">
      <c r="A79" s="875"/>
      <c r="B79" s="876"/>
      <c r="C79" s="876"/>
      <c r="D79" s="876"/>
      <c r="E79" s="876"/>
      <c r="F79" s="876"/>
      <c r="G79" s="551"/>
      <c r="H79" s="31"/>
      <c r="I79" s="31"/>
      <c r="J79" s="31"/>
      <c r="K79" s="31"/>
      <c r="L79" s="31"/>
      <c r="M79" s="31"/>
      <c r="N79" s="536"/>
    </row>
    <row r="80" spans="1:14" s="370" customFormat="1">
      <c r="A80" s="877" t="s">
        <v>258</v>
      </c>
      <c r="B80" s="878"/>
      <c r="C80" s="552"/>
      <c r="D80" s="552"/>
      <c r="E80" s="552"/>
      <c r="F80" s="552"/>
      <c r="G80" s="551"/>
      <c r="H80" s="31"/>
      <c r="I80" s="31"/>
      <c r="J80" s="31"/>
      <c r="K80" s="31"/>
      <c r="L80" s="31"/>
      <c r="M80" s="31"/>
      <c r="N80" s="536"/>
    </row>
    <row r="81" spans="1:14" s="370" customFormat="1">
      <c r="A81" s="553" t="s">
        <v>1009</v>
      </c>
      <c r="B81" s="554">
        <f>E69</f>
        <v>3705</v>
      </c>
      <c r="C81" s="555"/>
      <c r="D81" s="556"/>
      <c r="E81" s="556"/>
      <c r="F81" s="556"/>
      <c r="G81" s="551"/>
      <c r="H81" s="31"/>
      <c r="I81" s="31"/>
      <c r="J81" s="31"/>
      <c r="K81" s="31"/>
      <c r="L81" s="31"/>
      <c r="M81" s="31"/>
      <c r="N81" s="536"/>
    </row>
    <row r="82" spans="1:14" s="370" customFormat="1">
      <c r="A82" s="557" t="s">
        <v>1010</v>
      </c>
      <c r="B82" s="558">
        <f>F69</f>
        <v>4508</v>
      </c>
      <c r="C82" s="555"/>
      <c r="D82" s="556"/>
      <c r="E82" s="556"/>
      <c r="F82" s="556"/>
      <c r="G82" s="551"/>
      <c r="H82" s="31"/>
      <c r="I82" s="31"/>
      <c r="J82" s="31"/>
      <c r="K82" s="31"/>
      <c r="L82" s="31"/>
      <c r="M82" s="31"/>
      <c r="N82" s="536"/>
    </row>
    <row r="83" spans="1:14" s="370" customFormat="1">
      <c r="A83" s="559" t="s">
        <v>259</v>
      </c>
      <c r="B83" s="560">
        <f>B82-B81</f>
        <v>803</v>
      </c>
      <c r="C83" s="555"/>
      <c r="D83" s="556"/>
      <c r="E83" s="556"/>
      <c r="F83" s="556"/>
      <c r="G83" s="551"/>
      <c r="H83" s="31"/>
      <c r="I83" s="31"/>
      <c r="J83" s="31"/>
      <c r="K83" s="31"/>
      <c r="L83" s="31"/>
      <c r="M83" s="31"/>
      <c r="N83" s="536"/>
    </row>
    <row r="84" spans="1:14" s="370" customFormat="1">
      <c r="A84" s="559" t="s">
        <v>260</v>
      </c>
      <c r="B84" s="561">
        <f>B83/B81</f>
        <v>0.21673414304993252</v>
      </c>
      <c r="C84" s="555"/>
      <c r="D84" s="556"/>
      <c r="E84" s="556"/>
      <c r="F84" s="556"/>
      <c r="G84" s="551"/>
      <c r="H84" s="31"/>
      <c r="I84" s="31"/>
      <c r="J84" s="31"/>
      <c r="K84" s="31"/>
      <c r="L84" s="31"/>
      <c r="M84" s="31"/>
      <c r="N84" s="536"/>
    </row>
    <row r="85" spans="1:14" s="370" customFormat="1">
      <c r="A85" s="562"/>
      <c r="B85" s="556"/>
      <c r="C85" s="660"/>
      <c r="D85" s="556"/>
      <c r="E85" s="556"/>
      <c r="F85" s="556"/>
      <c r="G85" s="551"/>
      <c r="H85" s="31"/>
      <c r="I85" s="31"/>
      <c r="J85" s="31"/>
      <c r="K85" s="31"/>
      <c r="L85" s="31"/>
      <c r="M85" s="31"/>
      <c r="N85" s="536"/>
    </row>
    <row r="86" spans="1:14" s="370" customFormat="1">
      <c r="A86" s="974" t="s">
        <v>480</v>
      </c>
      <c r="B86" s="880"/>
      <c r="C86" s="880"/>
      <c r="D86" s="880"/>
      <c r="E86" s="880"/>
      <c r="F86" s="880"/>
      <c r="G86" s="551"/>
      <c r="H86" s="31"/>
      <c r="I86" s="31"/>
      <c r="J86" s="31"/>
      <c r="K86" s="31"/>
      <c r="L86" s="31"/>
      <c r="M86" s="31"/>
      <c r="N86" s="536"/>
    </row>
    <row r="87" spans="1:14" s="370" customFormat="1" ht="157" customHeight="1">
      <c r="A87" s="900" t="s">
        <v>481</v>
      </c>
      <c r="B87" s="901"/>
      <c r="C87" s="901"/>
      <c r="D87" s="901"/>
      <c r="E87" s="901"/>
      <c r="F87" s="902"/>
      <c r="G87" s="551"/>
      <c r="H87" s="31"/>
      <c r="I87" s="31"/>
      <c r="J87" s="31"/>
      <c r="K87" s="31"/>
      <c r="L87" s="31"/>
      <c r="M87" s="31"/>
      <c r="N87" s="536"/>
    </row>
    <row r="88" spans="1:14" s="370" customFormat="1">
      <c r="A88" s="563"/>
      <c r="B88" s="564"/>
      <c r="C88" s="564"/>
      <c r="D88" s="564"/>
      <c r="E88" s="564"/>
      <c r="F88" s="564"/>
      <c r="G88" s="551"/>
      <c r="H88" s="31"/>
      <c r="I88" s="31"/>
      <c r="J88" s="31"/>
      <c r="K88" s="31"/>
      <c r="L88" s="31"/>
      <c r="M88" s="31"/>
      <c r="N88" s="536"/>
    </row>
    <row r="89" spans="1:14" s="370" customFormat="1">
      <c r="A89" s="565" t="s">
        <v>262</v>
      </c>
      <c r="B89" s="556"/>
      <c r="C89" s="716"/>
      <c r="D89" s="556"/>
      <c r="E89" s="556"/>
      <c r="F89" s="556"/>
      <c r="G89" s="551"/>
      <c r="H89" s="31"/>
      <c r="I89" s="31"/>
      <c r="J89" s="31"/>
      <c r="K89" s="31"/>
      <c r="L89" s="31"/>
      <c r="M89" s="31"/>
      <c r="N89" s="536"/>
    </row>
    <row r="90" spans="1:14" s="370" customFormat="1" ht="157.5" customHeight="1">
      <c r="A90" s="900" t="s">
        <v>774</v>
      </c>
      <c r="B90" s="890"/>
      <c r="C90" s="890"/>
      <c r="D90" s="890"/>
      <c r="E90" s="890"/>
      <c r="F90" s="891"/>
      <c r="G90" s="551"/>
      <c r="H90" s="31"/>
      <c r="I90" s="31"/>
      <c r="J90" s="31"/>
      <c r="K90" s="31"/>
      <c r="L90" s="31"/>
      <c r="M90" s="31"/>
      <c r="N90" s="536"/>
    </row>
    <row r="91" spans="1:14" s="370" customFormat="1">
      <c r="A91" s="562"/>
      <c r="B91" s="556"/>
      <c r="C91" s="716"/>
      <c r="D91" s="556"/>
      <c r="E91" s="556"/>
      <c r="F91" s="556"/>
      <c r="G91" s="551"/>
      <c r="H91" s="31"/>
      <c r="I91" s="31"/>
      <c r="J91" s="31"/>
      <c r="K91" s="31"/>
      <c r="L91" s="31"/>
      <c r="M91" s="31"/>
      <c r="N91" s="536"/>
    </row>
    <row r="92" spans="1:14" s="370" customFormat="1">
      <c r="A92" s="879" t="s">
        <v>1020</v>
      </c>
      <c r="B92" s="880"/>
      <c r="C92" s="880"/>
      <c r="D92" s="880"/>
      <c r="E92" s="880"/>
      <c r="F92" s="880"/>
      <c r="G92" s="551"/>
      <c r="H92" s="31"/>
      <c r="I92" s="31"/>
      <c r="J92" s="31"/>
      <c r="K92" s="31"/>
      <c r="L92" s="31"/>
      <c r="M92" s="31"/>
      <c r="N92" s="536"/>
    </row>
    <row r="93" spans="1:14" s="370" customFormat="1">
      <c r="A93" s="975" t="s">
        <v>1021</v>
      </c>
      <c r="B93" s="899"/>
      <c r="C93" s="899"/>
      <c r="D93" s="899"/>
      <c r="E93" s="899"/>
      <c r="F93" s="899"/>
      <c r="G93" s="551"/>
      <c r="H93" s="31"/>
      <c r="I93" s="31"/>
      <c r="J93" s="31"/>
      <c r="K93" s="31"/>
      <c r="L93" s="31"/>
      <c r="M93" s="31"/>
      <c r="N93" s="536"/>
    </row>
    <row r="94" spans="1:14" s="370" customFormat="1" ht="147" customHeight="1">
      <c r="A94" s="900" t="s">
        <v>482</v>
      </c>
      <c r="B94" s="890"/>
      <c r="C94" s="890"/>
      <c r="D94" s="890"/>
      <c r="E94" s="890"/>
      <c r="F94" s="891"/>
      <c r="G94" s="551"/>
      <c r="H94" s="31"/>
      <c r="I94" s="31"/>
      <c r="J94" s="31"/>
      <c r="K94" s="31"/>
      <c r="L94" s="31"/>
      <c r="M94" s="31"/>
      <c r="N94" s="536"/>
    </row>
    <row r="95" spans="1:14" s="370" customFormat="1">
      <c r="A95" s="565"/>
      <c r="B95" s="556"/>
      <c r="C95" s="716"/>
      <c r="D95" s="556"/>
      <c r="E95" s="556"/>
      <c r="F95" s="556"/>
      <c r="G95" s="551"/>
      <c r="H95" s="31"/>
      <c r="I95" s="31"/>
      <c r="J95" s="31"/>
      <c r="K95" s="31"/>
      <c r="L95" s="31"/>
      <c r="M95" s="31"/>
      <c r="N95" s="536"/>
    </row>
    <row r="96" spans="1:14" s="370" customFormat="1">
      <c r="A96" s="879" t="s">
        <v>264</v>
      </c>
      <c r="B96" s="880"/>
      <c r="C96" s="880"/>
      <c r="D96" s="880"/>
      <c r="E96" s="880"/>
      <c r="F96" s="556"/>
      <c r="G96" s="551"/>
      <c r="H96" s="31"/>
      <c r="I96" s="31"/>
      <c r="J96" s="31"/>
      <c r="K96" s="31"/>
      <c r="L96" s="31"/>
      <c r="M96" s="31"/>
      <c r="N96" s="536"/>
    </row>
    <row r="97" spans="1:14" s="370" customFormat="1" ht="15.75" customHeight="1">
      <c r="A97" s="889" t="s">
        <v>1165</v>
      </c>
      <c r="B97" s="890"/>
      <c r="C97" s="890"/>
      <c r="D97" s="890"/>
      <c r="E97" s="890"/>
      <c r="F97" s="891"/>
      <c r="G97" s="551"/>
      <c r="H97" s="31"/>
      <c r="I97" s="31"/>
      <c r="J97" s="31"/>
      <c r="K97" s="31"/>
      <c r="L97" s="31"/>
      <c r="M97" s="31"/>
      <c r="N97" s="536"/>
    </row>
    <row r="98" spans="1:14" s="370" customFormat="1">
      <c r="A98" s="562"/>
      <c r="B98" s="556"/>
      <c r="C98" s="716"/>
      <c r="D98" s="556"/>
      <c r="E98" s="556"/>
      <c r="F98" s="556"/>
      <c r="G98" s="551"/>
      <c r="H98" s="31"/>
      <c r="I98" s="31"/>
      <c r="J98" s="31"/>
      <c r="K98" s="31"/>
      <c r="L98" s="31"/>
      <c r="M98" s="31"/>
      <c r="N98" s="536"/>
    </row>
    <row r="99" spans="1:14" s="370" customFormat="1">
      <c r="A99" s="565" t="s">
        <v>265</v>
      </c>
      <c r="B99" s="556"/>
      <c r="C99" s="716"/>
      <c r="D99" s="556"/>
      <c r="E99" s="556"/>
      <c r="F99" s="556"/>
      <c r="G99" s="551"/>
      <c r="H99" s="31"/>
      <c r="I99" s="31"/>
      <c r="J99" s="31"/>
      <c r="K99" s="31"/>
      <c r="L99" s="31"/>
      <c r="M99" s="31"/>
      <c r="N99" s="536"/>
    </row>
    <row r="100" spans="1:14" s="370" customFormat="1">
      <c r="A100" s="566" t="s">
        <v>266</v>
      </c>
      <c r="B100" s="556"/>
      <c r="C100" s="716"/>
      <c r="D100" s="556"/>
      <c r="E100" s="556"/>
      <c r="F100" s="556"/>
      <c r="G100" s="551"/>
      <c r="H100" s="31"/>
      <c r="I100" s="31"/>
      <c r="J100" s="31"/>
      <c r="K100" s="31"/>
      <c r="L100" s="31"/>
      <c r="M100" s="31"/>
      <c r="N100" s="536"/>
    </row>
    <row r="101" spans="1:14" s="370" customFormat="1" ht="28.65" customHeight="1">
      <c r="A101" s="976" t="s">
        <v>1030</v>
      </c>
      <c r="B101" s="977"/>
      <c r="C101" s="977"/>
      <c r="D101" s="977"/>
      <c r="E101" s="977"/>
      <c r="F101" s="977"/>
      <c r="G101" s="551"/>
      <c r="H101" s="31"/>
      <c r="I101" s="31"/>
      <c r="J101" s="31"/>
      <c r="K101" s="31"/>
      <c r="L101" s="31"/>
      <c r="M101" s="31"/>
      <c r="N101" s="536"/>
    </row>
    <row r="102" spans="1:14" s="370" customFormat="1" ht="58" customHeight="1">
      <c r="A102" s="900" t="s">
        <v>483</v>
      </c>
      <c r="B102" s="901"/>
      <c r="C102" s="901"/>
      <c r="D102" s="901"/>
      <c r="E102" s="901"/>
      <c r="F102" s="902"/>
      <c r="G102" s="551"/>
      <c r="H102" s="31"/>
      <c r="I102" s="31"/>
      <c r="J102" s="31"/>
      <c r="K102" s="31"/>
      <c r="L102" s="31"/>
      <c r="M102" s="31"/>
      <c r="N102" s="536"/>
    </row>
    <row r="103" spans="1:14" s="370" customFormat="1">
      <c r="A103" s="894"/>
      <c r="B103" s="895"/>
      <c r="C103" s="895"/>
      <c r="D103" s="895"/>
      <c r="E103" s="895"/>
      <c r="F103" s="895"/>
      <c r="G103" s="551"/>
      <c r="H103" s="31"/>
      <c r="I103" s="31"/>
      <c r="J103" s="31"/>
      <c r="K103" s="31"/>
      <c r="L103" s="31"/>
      <c r="M103" s="31"/>
      <c r="N103" s="536"/>
    </row>
    <row r="104" spans="1:14" s="370" customFormat="1">
      <c r="A104" s="566" t="s">
        <v>268</v>
      </c>
      <c r="B104" s="556"/>
      <c r="C104" s="716"/>
      <c r="D104" s="556"/>
      <c r="E104" s="556"/>
      <c r="F104" s="556"/>
      <c r="G104" s="551"/>
      <c r="H104" s="31"/>
      <c r="I104" s="31"/>
      <c r="J104" s="31"/>
      <c r="K104" s="31"/>
      <c r="L104" s="31"/>
      <c r="M104" s="31"/>
      <c r="N104" s="536"/>
    </row>
    <row r="105" spans="1:14" s="370" customFormat="1" ht="23.25" customHeight="1">
      <c r="A105" s="978" t="s">
        <v>269</v>
      </c>
      <c r="B105" s="979"/>
      <c r="C105" s="979"/>
      <c r="D105" s="979"/>
      <c r="E105" s="979"/>
      <c r="F105" s="979"/>
      <c r="G105" s="551"/>
      <c r="H105" s="31"/>
      <c r="I105" s="31"/>
      <c r="J105" s="31"/>
      <c r="K105" s="31"/>
      <c r="L105" s="31"/>
      <c r="M105" s="31"/>
      <c r="N105" s="536"/>
    </row>
    <row r="106" spans="1:14" s="370" customFormat="1" ht="219" customHeight="1">
      <c r="A106" s="943" t="s">
        <v>1222</v>
      </c>
      <c r="B106" s="944"/>
      <c r="C106" s="944"/>
      <c r="D106" s="944"/>
      <c r="E106" s="944"/>
      <c r="F106" s="945"/>
      <c r="G106" s="551"/>
      <c r="H106" s="31"/>
      <c r="I106" s="31"/>
      <c r="J106" s="31"/>
      <c r="K106" s="31"/>
      <c r="L106" s="31"/>
      <c r="M106" s="31"/>
      <c r="N106" s="536"/>
    </row>
    <row r="107" spans="1:14" s="370" customFormat="1" ht="15" thickBot="1">
      <c r="A107" s="567"/>
      <c r="B107" s="568"/>
      <c r="C107" s="569"/>
      <c r="D107" s="568"/>
      <c r="E107" s="568"/>
      <c r="F107" s="568"/>
      <c r="G107" s="570"/>
      <c r="H107" s="31"/>
      <c r="I107" s="31"/>
      <c r="J107" s="31"/>
      <c r="K107" s="31"/>
      <c r="L107" s="31"/>
      <c r="M107" s="31"/>
      <c r="N107" s="536"/>
    </row>
    <row r="108" spans="1:14" s="370" customFormat="1">
      <c r="A108" s="31"/>
      <c r="B108" s="31"/>
      <c r="C108" s="32"/>
      <c r="D108" s="31"/>
      <c r="E108" s="31"/>
      <c r="F108" s="31"/>
      <c r="G108" s="31"/>
      <c r="H108" s="31"/>
      <c r="I108" s="31"/>
      <c r="J108" s="31"/>
      <c r="K108" s="31"/>
      <c r="L108" s="31"/>
      <c r="M108" s="31"/>
      <c r="N108" s="536"/>
    </row>
    <row r="109" spans="1:14" s="370" customFormat="1">
      <c r="C109" s="717"/>
    </row>
    <row r="110" spans="1:14" s="370" customFormat="1">
      <c r="C110" s="717"/>
    </row>
    <row r="111" spans="1:14" s="370" customFormat="1">
      <c r="C111" s="717"/>
    </row>
    <row r="112" spans="1:14" s="370" customFormat="1">
      <c r="C112" s="717"/>
    </row>
    <row r="113" spans="3:3" s="370" customFormat="1">
      <c r="C113" s="717"/>
    </row>
    <row r="114" spans="3:3" s="370" customFormat="1">
      <c r="C114" s="717"/>
    </row>
    <row r="115" spans="3:3" s="370" customFormat="1">
      <c r="C115" s="717"/>
    </row>
    <row r="116" spans="3:3" s="370" customFormat="1">
      <c r="C116" s="717"/>
    </row>
    <row r="117" spans="3:3" s="370" customFormat="1">
      <c r="C117" s="717"/>
    </row>
    <row r="118" spans="3:3" s="370" customFormat="1">
      <c r="C118" s="717"/>
    </row>
    <row r="119" spans="3:3" s="370" customFormat="1">
      <c r="C119" s="717"/>
    </row>
    <row r="120" spans="3:3" s="370" customFormat="1">
      <c r="C120" s="717"/>
    </row>
    <row r="121" spans="3:3" s="370" customFormat="1">
      <c r="C121" s="717"/>
    </row>
    <row r="122" spans="3:3" s="370" customFormat="1">
      <c r="C122" s="717"/>
    </row>
    <row r="123" spans="3:3" s="370" customFormat="1">
      <c r="C123" s="717"/>
    </row>
    <row r="124" spans="3:3" s="370" customFormat="1">
      <c r="C124" s="717"/>
    </row>
    <row r="125" spans="3:3" s="370" customFormat="1">
      <c r="C125" s="717"/>
    </row>
    <row r="126" spans="3:3" s="370" customFormat="1">
      <c r="C126" s="717"/>
    </row>
    <row r="127" spans="3:3" s="370" customFormat="1">
      <c r="C127" s="717"/>
    </row>
    <row r="128" spans="3:3" s="370" customFormat="1">
      <c r="C128" s="717"/>
    </row>
    <row r="129" spans="3:3" s="370" customFormat="1">
      <c r="C129" s="717"/>
    </row>
    <row r="130" spans="3:3" s="370" customFormat="1">
      <c r="C130" s="717"/>
    </row>
    <row r="131" spans="3:3" s="370" customFormat="1">
      <c r="C131" s="717"/>
    </row>
    <row r="132" spans="3:3" s="370" customFormat="1">
      <c r="C132" s="717"/>
    </row>
    <row r="133" spans="3:3" s="370" customFormat="1">
      <c r="C133" s="717"/>
    </row>
    <row r="134" spans="3:3" s="370" customFormat="1">
      <c r="C134" s="717"/>
    </row>
    <row r="135" spans="3:3" s="370" customFormat="1">
      <c r="C135" s="717"/>
    </row>
    <row r="136" spans="3:3" s="370" customFormat="1">
      <c r="C136" s="717"/>
    </row>
    <row r="137" spans="3:3" s="370" customFormat="1">
      <c r="C137" s="717"/>
    </row>
    <row r="138" spans="3:3" s="370" customFormat="1">
      <c r="C138" s="717"/>
    </row>
    <row r="139" spans="3:3" s="370" customFormat="1">
      <c r="C139" s="717"/>
    </row>
    <row r="140" spans="3:3" s="370" customFormat="1">
      <c r="C140" s="717"/>
    </row>
    <row r="141" spans="3:3" s="370" customFormat="1">
      <c r="C141" s="717"/>
    </row>
    <row r="142" spans="3:3" s="370" customFormat="1">
      <c r="C142" s="717"/>
    </row>
    <row r="143" spans="3:3" s="370" customFormat="1">
      <c r="C143" s="717"/>
    </row>
    <row r="144" spans="3:3" s="370" customFormat="1">
      <c r="C144" s="717"/>
    </row>
    <row r="145" spans="3:3" s="370" customFormat="1">
      <c r="C145" s="717"/>
    </row>
    <row r="146" spans="3:3" s="370" customFormat="1">
      <c r="C146" s="717"/>
    </row>
    <row r="147" spans="3:3" s="370" customFormat="1">
      <c r="C147" s="717"/>
    </row>
    <row r="148" spans="3:3" s="370" customFormat="1">
      <c r="C148" s="717"/>
    </row>
    <row r="149" spans="3:3" s="370" customFormat="1">
      <c r="C149" s="717"/>
    </row>
    <row r="150" spans="3:3" s="370" customFormat="1">
      <c r="C150" s="717"/>
    </row>
    <row r="151" spans="3:3" s="370" customFormat="1">
      <c r="C151" s="717"/>
    </row>
    <row r="152" spans="3:3" s="370" customFormat="1">
      <c r="C152" s="717"/>
    </row>
    <row r="153" spans="3:3" s="370" customFormat="1">
      <c r="C153" s="717"/>
    </row>
    <row r="154" spans="3:3" s="370" customFormat="1">
      <c r="C154" s="717"/>
    </row>
    <row r="155" spans="3:3" s="370" customFormat="1">
      <c r="C155" s="717"/>
    </row>
    <row r="156" spans="3:3" s="370" customFormat="1">
      <c r="C156" s="717"/>
    </row>
    <row r="157" spans="3:3" s="370" customFormat="1">
      <c r="C157" s="717"/>
    </row>
    <row r="158" spans="3:3" s="370" customFormat="1">
      <c r="C158" s="717"/>
    </row>
    <row r="159" spans="3:3" s="370" customFormat="1">
      <c r="C159" s="717"/>
    </row>
    <row r="160" spans="3:3" s="370" customFormat="1">
      <c r="C160" s="717"/>
    </row>
    <row r="161" spans="3:3" s="370" customFormat="1">
      <c r="C161" s="717"/>
    </row>
    <row r="162" spans="3:3" s="370" customFormat="1">
      <c r="C162" s="717"/>
    </row>
    <row r="163" spans="3:3" s="370" customFormat="1">
      <c r="C163" s="717"/>
    </row>
    <row r="164" spans="3:3" s="370" customFormat="1">
      <c r="C164" s="717"/>
    </row>
    <row r="165" spans="3:3" s="370" customFormat="1">
      <c r="C165" s="717"/>
    </row>
    <row r="166" spans="3:3" s="370" customFormat="1">
      <c r="C166" s="717"/>
    </row>
    <row r="167" spans="3:3" s="370" customFormat="1">
      <c r="C167" s="717"/>
    </row>
    <row r="168" spans="3:3" s="370" customFormat="1">
      <c r="C168" s="717"/>
    </row>
    <row r="169" spans="3:3" s="370" customFormat="1">
      <c r="C169" s="717"/>
    </row>
    <row r="170" spans="3:3" s="370" customFormat="1">
      <c r="C170" s="717"/>
    </row>
    <row r="171" spans="3:3" s="370" customFormat="1">
      <c r="C171" s="717"/>
    </row>
    <row r="172" spans="3:3" s="370" customFormat="1">
      <c r="C172" s="661"/>
    </row>
    <row r="173" spans="3:3" s="370" customFormat="1">
      <c r="C173" s="661"/>
    </row>
    <row r="174" spans="3:3" s="370" customFormat="1">
      <c r="C174" s="661"/>
    </row>
    <row r="175" spans="3:3" s="370" customFormat="1">
      <c r="C175" s="661"/>
    </row>
    <row r="176" spans="3:3" s="370" customFormat="1">
      <c r="C176" s="661"/>
    </row>
    <row r="177" spans="3:3" s="370" customFormat="1">
      <c r="C177" s="661"/>
    </row>
    <row r="178" spans="3:3" s="370" customFormat="1">
      <c r="C178" s="661"/>
    </row>
    <row r="179" spans="3:3" s="370" customFormat="1">
      <c r="C179" s="661"/>
    </row>
    <row r="180" spans="3:3" s="370" customFormat="1">
      <c r="C180" s="661"/>
    </row>
    <row r="181" spans="3:3" s="370" customFormat="1">
      <c r="C181" s="661"/>
    </row>
    <row r="182" spans="3:3" s="370" customFormat="1">
      <c r="C182" s="661"/>
    </row>
    <row r="183" spans="3:3" s="370" customFormat="1">
      <c r="C183" s="661"/>
    </row>
    <row r="184" spans="3:3" s="370" customFormat="1">
      <c r="C184" s="661"/>
    </row>
    <row r="185" spans="3:3" s="370" customFormat="1">
      <c r="C185" s="661"/>
    </row>
    <row r="186" spans="3:3" s="370" customFormat="1">
      <c r="C186" s="661"/>
    </row>
    <row r="187" spans="3:3" s="370" customFormat="1">
      <c r="C187" s="661"/>
    </row>
    <row r="188" spans="3:3" s="370" customFormat="1">
      <c r="C188" s="661"/>
    </row>
    <row r="189" spans="3:3" s="370" customFormat="1">
      <c r="C189" s="661"/>
    </row>
    <row r="190" spans="3:3" s="370" customFormat="1">
      <c r="C190" s="661"/>
    </row>
    <row r="191" spans="3:3" s="370" customFormat="1">
      <c r="C191" s="661"/>
    </row>
    <row r="192" spans="3:3" s="370" customFormat="1">
      <c r="C192" s="661"/>
    </row>
    <row r="193" spans="3:3" s="370" customFormat="1">
      <c r="C193" s="661"/>
    </row>
    <row r="194" spans="3:3" s="370" customFormat="1">
      <c r="C194" s="661"/>
    </row>
    <row r="195" spans="3:3" s="370" customFormat="1">
      <c r="C195" s="661"/>
    </row>
    <row r="196" spans="3:3" s="370" customFormat="1">
      <c r="C196" s="661"/>
    </row>
    <row r="197" spans="3:3" s="370" customFormat="1">
      <c r="C197" s="661"/>
    </row>
    <row r="198" spans="3:3" s="370" customFormat="1">
      <c r="C198" s="661"/>
    </row>
    <row r="199" spans="3:3" s="370" customFormat="1">
      <c r="C199" s="661"/>
    </row>
    <row r="200" spans="3:3" s="370" customFormat="1">
      <c r="C200" s="661"/>
    </row>
    <row r="201" spans="3:3" s="370" customFormat="1">
      <c r="C201" s="661"/>
    </row>
    <row r="202" spans="3:3" s="370" customFormat="1">
      <c r="C202" s="661"/>
    </row>
    <row r="203" spans="3:3" s="370" customFormat="1">
      <c r="C203" s="661"/>
    </row>
    <row r="204" spans="3:3" s="370" customFormat="1">
      <c r="C204" s="661"/>
    </row>
    <row r="205" spans="3:3" s="370" customFormat="1">
      <c r="C205" s="661"/>
    </row>
    <row r="206" spans="3:3" s="370" customFormat="1">
      <c r="C206" s="661"/>
    </row>
    <row r="207" spans="3:3" s="370" customFormat="1">
      <c r="C207" s="661"/>
    </row>
    <row r="208" spans="3:3" s="370" customFormat="1">
      <c r="C208" s="661"/>
    </row>
    <row r="209" spans="3:3" s="370" customFormat="1">
      <c r="C209" s="661"/>
    </row>
    <row r="210" spans="3:3" s="370" customFormat="1">
      <c r="C210" s="661"/>
    </row>
    <row r="211" spans="3:3" s="370" customFormat="1">
      <c r="C211" s="661"/>
    </row>
    <row r="212" spans="3:3" s="370" customFormat="1">
      <c r="C212" s="661"/>
    </row>
    <row r="213" spans="3:3" s="370" customFormat="1">
      <c r="C213" s="661"/>
    </row>
    <row r="214" spans="3:3" s="370" customFormat="1">
      <c r="C214" s="661"/>
    </row>
    <row r="215" spans="3:3" s="370" customFormat="1">
      <c r="C215" s="661"/>
    </row>
    <row r="216" spans="3:3" s="370" customFormat="1">
      <c r="C216" s="661"/>
    </row>
    <row r="217" spans="3:3" s="370" customFormat="1">
      <c r="C217" s="661"/>
    </row>
    <row r="218" spans="3:3" s="370" customFormat="1">
      <c r="C218" s="661"/>
    </row>
    <row r="219" spans="3:3" s="370" customFormat="1">
      <c r="C219" s="661"/>
    </row>
    <row r="220" spans="3:3" s="370" customFormat="1">
      <c r="C220" s="661"/>
    </row>
    <row r="221" spans="3:3" s="370" customFormat="1">
      <c r="C221" s="661"/>
    </row>
    <row r="222" spans="3:3" s="370" customFormat="1">
      <c r="C222" s="661"/>
    </row>
    <row r="223" spans="3:3" s="370" customFormat="1">
      <c r="C223" s="661"/>
    </row>
    <row r="224" spans="3:3" s="370" customFormat="1">
      <c r="C224" s="661"/>
    </row>
    <row r="225" spans="3:3" s="370" customFormat="1">
      <c r="C225" s="661"/>
    </row>
    <row r="226" spans="3:3" s="370" customFormat="1">
      <c r="C226" s="661"/>
    </row>
    <row r="227" spans="3:3" s="370" customFormat="1">
      <c r="C227" s="661"/>
    </row>
    <row r="228" spans="3:3" s="370" customFormat="1">
      <c r="C228" s="661"/>
    </row>
    <row r="229" spans="3:3" s="370" customFormat="1">
      <c r="C229" s="661"/>
    </row>
    <row r="230" spans="3:3" s="370" customFormat="1">
      <c r="C230" s="661"/>
    </row>
    <row r="231" spans="3:3" s="370" customFormat="1">
      <c r="C231" s="661"/>
    </row>
    <row r="232" spans="3:3" s="370" customFormat="1">
      <c r="C232" s="661"/>
    </row>
    <row r="233" spans="3:3" s="370" customFormat="1">
      <c r="C233" s="661"/>
    </row>
    <row r="234" spans="3:3" s="370" customFormat="1">
      <c r="C234" s="661"/>
    </row>
    <row r="235" spans="3:3" s="370" customFormat="1">
      <c r="C235" s="661"/>
    </row>
    <row r="236" spans="3:3" s="370" customFormat="1">
      <c r="C236" s="661"/>
    </row>
    <row r="237" spans="3:3" s="370" customFormat="1">
      <c r="C237" s="661"/>
    </row>
    <row r="238" spans="3:3" s="370" customFormat="1">
      <c r="C238" s="661"/>
    </row>
    <row r="239" spans="3:3" s="370" customFormat="1">
      <c r="C239" s="661"/>
    </row>
    <row r="240" spans="3:3" s="370" customFormat="1">
      <c r="C240" s="661"/>
    </row>
    <row r="241" spans="3:3" s="370" customFormat="1">
      <c r="C241" s="661"/>
    </row>
    <row r="242" spans="3:3" s="370" customFormat="1">
      <c r="C242" s="661"/>
    </row>
    <row r="243" spans="3:3" s="370" customFormat="1">
      <c r="C243" s="661"/>
    </row>
    <row r="244" spans="3:3" s="370" customFormat="1">
      <c r="C244" s="661"/>
    </row>
    <row r="245" spans="3:3" s="370" customFormat="1">
      <c r="C245" s="661"/>
    </row>
  </sheetData>
  <mergeCells count="21">
    <mergeCell ref="A106:F106"/>
    <mergeCell ref="A97:F97"/>
    <mergeCell ref="A101:F101"/>
    <mergeCell ref="A102:F102"/>
    <mergeCell ref="A103:F103"/>
    <mergeCell ref="A105:F105"/>
    <mergeCell ref="A90:F90"/>
    <mergeCell ref="A92:F92"/>
    <mergeCell ref="A93:F93"/>
    <mergeCell ref="A94:F94"/>
    <mergeCell ref="A96:E96"/>
    <mergeCell ref="A78:F78"/>
    <mergeCell ref="A79:F79"/>
    <mergeCell ref="A80:B80"/>
    <mergeCell ref="A86:F86"/>
    <mergeCell ref="A87:F87"/>
    <mergeCell ref="A1:N1"/>
    <mergeCell ref="A71:E71"/>
    <mergeCell ref="A72:D72"/>
    <mergeCell ref="A73:D73"/>
    <mergeCell ref="A74:D74"/>
  </mergeCells>
  <printOptions horizontalCentered="1"/>
  <pageMargins left="0.2" right="0.2" top="0.75" bottom="0.75" header="0.3" footer="0.3"/>
  <pageSetup scale="71" fitToHeight="2" orientation="landscape" r:id="rId1"/>
  <headerFooter>
    <oddHeader xml:space="preserve">&amp;CDRAFT NOT FOR DISTRIBUTION, INTERNAL USE ONLY
</oddHead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pageSetUpPr fitToPage="1"/>
  </sheetPr>
  <dimension ref="A1:N206"/>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54296875" bestFit="1" customWidth="1"/>
    <col min="14" max="14" width="37.1796875" customWidth="1"/>
    <col min="15" max="15" width="13.26953125" customWidth="1"/>
  </cols>
  <sheetData>
    <row r="1" spans="1:14" ht="15.5">
      <c r="A1" s="854" t="s">
        <v>377</v>
      </c>
      <c r="B1" s="854"/>
      <c r="C1" s="854"/>
      <c r="D1" s="854"/>
      <c r="E1" s="854"/>
      <c r="F1" s="854"/>
      <c r="G1" s="854"/>
      <c r="H1" s="854"/>
      <c r="I1" s="854"/>
      <c r="J1" s="854"/>
      <c r="K1" s="854"/>
      <c r="L1" s="854"/>
      <c r="M1" s="854"/>
      <c r="N1" s="854"/>
    </row>
    <row r="2" spans="1:14">
      <c r="A2" s="702" t="s">
        <v>770</v>
      </c>
      <c r="B2" s="370"/>
      <c r="C2" s="639"/>
      <c r="D2" s="370"/>
      <c r="E2" s="370"/>
      <c r="F2" s="370"/>
      <c r="G2" s="370"/>
      <c r="H2" s="370"/>
      <c r="I2" s="370"/>
      <c r="J2" s="370"/>
      <c r="K2" s="370"/>
      <c r="L2" s="370"/>
      <c r="M2" s="370"/>
      <c r="N2" s="370"/>
    </row>
    <row r="3" spans="1:14">
      <c r="A3" s="506" t="s">
        <v>1166</v>
      </c>
      <c r="B3" s="370"/>
      <c r="C3" s="639"/>
      <c r="D3" s="370"/>
      <c r="E3" s="29"/>
      <c r="F3" s="29"/>
      <c r="G3" s="451" t="s">
        <v>210</v>
      </c>
      <c r="H3" s="370"/>
      <c r="I3" s="370"/>
      <c r="J3" s="370"/>
      <c r="K3" s="370"/>
      <c r="L3" s="370"/>
      <c r="M3" s="370"/>
      <c r="N3" s="370"/>
    </row>
    <row r="4" spans="1:14">
      <c r="A4" s="506" t="s">
        <v>1167</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15" customHeight="1">
      <c r="A7" s="36" t="s">
        <v>217</v>
      </c>
      <c r="B7" s="259"/>
      <c r="C7" s="37" t="s">
        <v>218</v>
      </c>
      <c r="D7" s="39"/>
      <c r="E7" s="258"/>
      <c r="F7" s="303">
        <f>SUM(G7:M7)</f>
        <v>0</v>
      </c>
      <c r="G7" s="304"/>
      <c r="H7" s="304"/>
      <c r="I7" s="304"/>
      <c r="J7" s="304"/>
      <c r="K7" s="304"/>
      <c r="L7" s="304"/>
      <c r="M7" s="305"/>
      <c r="N7" s="348"/>
    </row>
    <row r="8" spans="1:14">
      <c r="A8" s="36" t="s">
        <v>217</v>
      </c>
      <c r="B8" s="259"/>
      <c r="C8" s="37" t="s">
        <v>218</v>
      </c>
      <c r="D8" s="39"/>
      <c r="E8" s="258">
        <v>0</v>
      </c>
      <c r="F8" s="303">
        <f>SUM(G8:M8)</f>
        <v>0</v>
      </c>
      <c r="G8" s="304">
        <v>0</v>
      </c>
      <c r="H8" s="304">
        <v>0</v>
      </c>
      <c r="I8" s="304">
        <v>0</v>
      </c>
      <c r="J8" s="304">
        <v>0</v>
      </c>
      <c r="K8" s="304">
        <v>0</v>
      </c>
      <c r="L8" s="304">
        <v>0</v>
      </c>
      <c r="M8" s="305">
        <v>0</v>
      </c>
      <c r="N8" s="348"/>
    </row>
    <row r="9" spans="1:14">
      <c r="A9" s="36" t="s">
        <v>217</v>
      </c>
      <c r="B9" s="259"/>
      <c r="C9" s="37" t="s">
        <v>218</v>
      </c>
      <c r="D9" s="39"/>
      <c r="E9" s="258">
        <v>0</v>
      </c>
      <c r="F9" s="303">
        <f>SUM(G9:M9)</f>
        <v>0</v>
      </c>
      <c r="G9" s="304">
        <v>0</v>
      </c>
      <c r="H9" s="304">
        <v>0</v>
      </c>
      <c r="I9" s="304">
        <v>0</v>
      </c>
      <c r="J9" s="304">
        <v>0</v>
      </c>
      <c r="K9" s="304">
        <v>0</v>
      </c>
      <c r="L9" s="304">
        <v>0</v>
      </c>
      <c r="M9" s="305">
        <v>0</v>
      </c>
      <c r="N9" s="348"/>
    </row>
    <row r="10" spans="1:14">
      <c r="A10" s="36" t="s">
        <v>217</v>
      </c>
      <c r="B10" s="260"/>
      <c r="C10" s="37" t="s">
        <v>218</v>
      </c>
      <c r="D10" s="39"/>
      <c r="E10" s="258">
        <v>0</v>
      </c>
      <c r="F10" s="303">
        <f>SUM(G10:M10)</f>
        <v>0</v>
      </c>
      <c r="G10" s="304">
        <v>0</v>
      </c>
      <c r="H10" s="304">
        <v>0</v>
      </c>
      <c r="I10" s="304">
        <v>0</v>
      </c>
      <c r="J10" s="304">
        <v>0</v>
      </c>
      <c r="K10" s="304">
        <v>0</v>
      </c>
      <c r="L10" s="304">
        <v>0</v>
      </c>
      <c r="M10" s="305">
        <v>0</v>
      </c>
      <c r="N10" s="348"/>
    </row>
    <row r="11" spans="1:14">
      <c r="A11" s="40" t="s">
        <v>219</v>
      </c>
      <c r="B11" s="260"/>
      <c r="C11" s="261"/>
      <c r="D11" s="41">
        <f t="shared" ref="D11:M11" si="0">SUM(D7:D10)</f>
        <v>0</v>
      </c>
      <c r="E11" s="42">
        <f t="shared" si="0"/>
        <v>0</v>
      </c>
      <c r="F11" s="43">
        <f t="shared" si="0"/>
        <v>0</v>
      </c>
      <c r="G11" s="43">
        <f t="shared" si="0"/>
        <v>0</v>
      </c>
      <c r="H11" s="43">
        <f t="shared" si="0"/>
        <v>0</v>
      </c>
      <c r="I11" s="43">
        <f t="shared" si="0"/>
        <v>0</v>
      </c>
      <c r="J11" s="43">
        <f t="shared" si="0"/>
        <v>0</v>
      </c>
      <c r="K11" s="43">
        <f t="shared" si="0"/>
        <v>0</v>
      </c>
      <c r="L11" s="43">
        <f t="shared" si="0"/>
        <v>0</v>
      </c>
      <c r="M11" s="43">
        <f t="shared" si="0"/>
        <v>0</v>
      </c>
      <c r="N11" s="348"/>
    </row>
    <row r="12" spans="1:14">
      <c r="A12" s="67" t="s">
        <v>220</v>
      </c>
      <c r="B12" s="68"/>
      <c r="C12" s="69"/>
      <c r="D12" s="68"/>
      <c r="E12" s="68"/>
      <c r="F12" s="70"/>
      <c r="G12" s="70"/>
      <c r="H12" s="70"/>
      <c r="I12" s="70"/>
      <c r="J12" s="70"/>
      <c r="K12" s="70"/>
      <c r="L12" s="70"/>
      <c r="M12" s="70"/>
      <c r="N12" s="70"/>
    </row>
    <row r="13" spans="1:14" s="370" customFormat="1" ht="38.5">
      <c r="A13" s="259" t="s">
        <v>484</v>
      </c>
      <c r="B13" s="71" t="s">
        <v>485</v>
      </c>
      <c r="C13" s="44">
        <v>253</v>
      </c>
      <c r="D13" s="45"/>
      <c r="E13" s="258">
        <f>950-228</f>
        <v>722</v>
      </c>
      <c r="F13" s="350">
        <f>SUM(G13:M13)</f>
        <v>100</v>
      </c>
      <c r="G13" s="304">
        <v>0</v>
      </c>
      <c r="H13" s="304">
        <f>100-10-90</f>
        <v>0</v>
      </c>
      <c r="I13" s="304">
        <v>0</v>
      </c>
      <c r="J13" s="304">
        <v>0</v>
      </c>
      <c r="K13" s="304">
        <v>100</v>
      </c>
      <c r="L13" s="304">
        <v>0</v>
      </c>
      <c r="M13" s="305">
        <v>0</v>
      </c>
      <c r="N13" s="318" t="s">
        <v>1366</v>
      </c>
    </row>
    <row r="14" spans="1:14" ht="43.5">
      <c r="A14" s="259" t="s">
        <v>484</v>
      </c>
      <c r="B14" s="71" t="s">
        <v>485</v>
      </c>
      <c r="C14" s="44">
        <v>253</v>
      </c>
      <c r="D14" s="45"/>
      <c r="E14" s="258">
        <v>228</v>
      </c>
      <c r="F14" s="350">
        <f>SUM(G14:M14)</f>
        <v>183</v>
      </c>
      <c r="G14" s="304">
        <v>0</v>
      </c>
      <c r="H14" s="304">
        <f>100-10-90</f>
        <v>0</v>
      </c>
      <c r="I14" s="304">
        <v>0</v>
      </c>
      <c r="J14" s="304">
        <v>0</v>
      </c>
      <c r="K14" s="304">
        <f>54+129</f>
        <v>183</v>
      </c>
      <c r="L14" s="304">
        <v>0</v>
      </c>
      <c r="M14" s="305">
        <v>0</v>
      </c>
      <c r="N14" s="318" t="s">
        <v>1367</v>
      </c>
    </row>
    <row r="15" spans="1:14">
      <c r="A15" s="259" t="s">
        <v>486</v>
      </c>
      <c r="B15" s="259"/>
      <c r="C15" s="44">
        <v>253</v>
      </c>
      <c r="D15" s="45"/>
      <c r="E15" s="258">
        <v>0</v>
      </c>
      <c r="F15" s="350">
        <f>SUM(G15:M15)</f>
        <v>0</v>
      </c>
      <c r="G15" s="304"/>
      <c r="H15" s="304">
        <v>0</v>
      </c>
      <c r="I15" s="304"/>
      <c r="J15" s="304"/>
      <c r="K15" s="304">
        <v>0</v>
      </c>
      <c r="L15" s="304">
        <v>0</v>
      </c>
      <c r="M15" s="305">
        <v>0</v>
      </c>
      <c r="N15" s="319"/>
    </row>
    <row r="16" spans="1:14">
      <c r="A16" s="259" t="s">
        <v>487</v>
      </c>
      <c r="B16" s="259"/>
      <c r="C16" s="44">
        <v>253</v>
      </c>
      <c r="D16" s="262"/>
      <c r="E16" s="258">
        <v>0</v>
      </c>
      <c r="F16" s="350">
        <f>SUM(G16:M16)</f>
        <v>0</v>
      </c>
      <c r="G16" s="304"/>
      <c r="H16" s="304"/>
      <c r="I16" s="304"/>
      <c r="J16" s="304"/>
      <c r="K16" s="304"/>
      <c r="L16" s="304">
        <v>0</v>
      </c>
      <c r="M16" s="305">
        <v>0</v>
      </c>
      <c r="N16" s="348"/>
    </row>
    <row r="17" spans="1:14" s="7" customFormat="1" ht="26">
      <c r="A17" s="259" t="s">
        <v>296</v>
      </c>
      <c r="B17" s="71" t="s">
        <v>488</v>
      </c>
      <c r="C17" s="44">
        <v>253</v>
      </c>
      <c r="D17" s="262"/>
      <c r="E17" s="258">
        <v>0</v>
      </c>
      <c r="F17" s="350">
        <f>SUM(G17:M17)</f>
        <v>70</v>
      </c>
      <c r="G17" s="304">
        <v>0</v>
      </c>
      <c r="H17" s="304">
        <v>0</v>
      </c>
      <c r="I17" s="304">
        <v>0</v>
      </c>
      <c r="J17" s="304">
        <v>0</v>
      </c>
      <c r="K17" s="304">
        <v>0</v>
      </c>
      <c r="L17" s="304">
        <v>0</v>
      </c>
      <c r="M17" s="305">
        <v>70</v>
      </c>
      <c r="N17" s="320" t="s">
        <v>1168</v>
      </c>
    </row>
    <row r="18" spans="1:14">
      <c r="A18" s="40" t="s">
        <v>225</v>
      </c>
      <c r="B18" s="260"/>
      <c r="C18" s="261"/>
      <c r="D18" s="262">
        <f>SUM(D14:D17)</f>
        <v>0</v>
      </c>
      <c r="E18" s="43">
        <f>SUM(E13:E17)</f>
        <v>950</v>
      </c>
      <c r="F18" s="43">
        <f>SUM(F13:F17)</f>
        <v>353</v>
      </c>
      <c r="G18" s="43">
        <f t="shared" ref="G18:M18" si="1">SUM(G13:G17)</f>
        <v>0</v>
      </c>
      <c r="H18" s="43">
        <f t="shared" si="1"/>
        <v>0</v>
      </c>
      <c r="I18" s="43">
        <f t="shared" si="1"/>
        <v>0</v>
      </c>
      <c r="J18" s="43">
        <f t="shared" si="1"/>
        <v>0</v>
      </c>
      <c r="K18" s="43">
        <f t="shared" si="1"/>
        <v>283</v>
      </c>
      <c r="L18" s="43">
        <f t="shared" si="1"/>
        <v>0</v>
      </c>
      <c r="M18" s="43">
        <f t="shared" si="1"/>
        <v>70</v>
      </c>
      <c r="N18" s="348"/>
    </row>
    <row r="19" spans="1:14" s="7" customFormat="1">
      <c r="A19" s="67" t="s">
        <v>226</v>
      </c>
      <c r="B19" s="68"/>
      <c r="C19" s="69"/>
      <c r="D19" s="68"/>
      <c r="E19" s="68"/>
      <c r="F19" s="70"/>
      <c r="G19" s="70"/>
      <c r="H19" s="70"/>
      <c r="I19" s="70"/>
      <c r="J19" s="70"/>
      <c r="K19" s="70"/>
      <c r="L19" s="70"/>
      <c r="M19" s="70"/>
      <c r="N19" s="70"/>
    </row>
    <row r="20" spans="1:14" ht="15" customHeight="1">
      <c r="A20" s="259" t="s">
        <v>227</v>
      </c>
      <c r="B20" s="36"/>
      <c r="C20" s="37" t="s">
        <v>228</v>
      </c>
      <c r="D20" s="38">
        <v>0</v>
      </c>
      <c r="E20" s="258"/>
      <c r="F20" s="303">
        <f t="shared" ref="F20:F33" si="2">SUM(G20:M20)</f>
        <v>0</v>
      </c>
      <c r="G20" s="304"/>
      <c r="H20" s="304"/>
      <c r="I20" s="304"/>
      <c r="J20" s="304"/>
      <c r="K20" s="304">
        <v>0</v>
      </c>
      <c r="L20" s="304">
        <v>0</v>
      </c>
      <c r="M20" s="305">
        <v>0</v>
      </c>
      <c r="N20" s="318"/>
    </row>
    <row r="21" spans="1:14">
      <c r="A21" s="259" t="s">
        <v>229</v>
      </c>
      <c r="B21" s="36"/>
      <c r="C21" s="44" t="s">
        <v>230</v>
      </c>
      <c r="D21" s="45"/>
      <c r="E21" s="258"/>
      <c r="F21" s="303">
        <f t="shared" si="2"/>
        <v>0</v>
      </c>
      <c r="G21" s="304"/>
      <c r="H21" s="304"/>
      <c r="I21" s="304"/>
      <c r="J21" s="304">
        <v>0</v>
      </c>
      <c r="K21" s="304">
        <v>0</v>
      </c>
      <c r="L21" s="304">
        <v>0</v>
      </c>
      <c r="M21" s="305">
        <v>0</v>
      </c>
      <c r="N21" s="348"/>
    </row>
    <row r="22" spans="1:14">
      <c r="A22" s="259" t="s">
        <v>231</v>
      </c>
      <c r="B22" s="36"/>
      <c r="C22" s="44" t="s">
        <v>232</v>
      </c>
      <c r="D22" s="45"/>
      <c r="E22" s="258"/>
      <c r="F22" s="303">
        <f t="shared" si="2"/>
        <v>0</v>
      </c>
      <c r="G22" s="304"/>
      <c r="H22" s="304"/>
      <c r="I22" s="304"/>
      <c r="J22" s="304">
        <v>0</v>
      </c>
      <c r="K22" s="304">
        <v>0</v>
      </c>
      <c r="L22" s="304">
        <v>0</v>
      </c>
      <c r="M22" s="305">
        <v>0</v>
      </c>
      <c r="N22" s="348"/>
    </row>
    <row r="23" spans="1:14">
      <c r="A23" s="259" t="s">
        <v>233</v>
      </c>
      <c r="B23" s="36"/>
      <c r="C23" s="44" t="s">
        <v>234</v>
      </c>
      <c r="D23" s="45"/>
      <c r="E23" s="258"/>
      <c r="F23" s="303">
        <f t="shared" si="2"/>
        <v>0</v>
      </c>
      <c r="G23" s="304"/>
      <c r="H23" s="304"/>
      <c r="I23" s="304"/>
      <c r="J23" s="304">
        <v>0</v>
      </c>
      <c r="K23" s="304">
        <v>0</v>
      </c>
      <c r="L23" s="304">
        <v>0</v>
      </c>
      <c r="M23" s="305">
        <v>0</v>
      </c>
      <c r="N23" s="348"/>
    </row>
    <row r="24" spans="1:14">
      <c r="A24" s="259" t="s">
        <v>235</v>
      </c>
      <c r="B24" s="371"/>
      <c r="C24" s="44">
        <v>251</v>
      </c>
      <c r="D24" s="45"/>
      <c r="E24" s="258">
        <v>0</v>
      </c>
      <c r="F24" s="303">
        <f t="shared" si="2"/>
        <v>0</v>
      </c>
      <c r="G24" s="304"/>
      <c r="H24" s="304">
        <v>0</v>
      </c>
      <c r="I24" s="304"/>
      <c r="J24" s="304">
        <v>0</v>
      </c>
      <c r="K24" s="304">
        <v>0</v>
      </c>
      <c r="L24" s="304">
        <v>0</v>
      </c>
      <c r="M24" s="305">
        <v>0</v>
      </c>
      <c r="N24" s="367"/>
    </row>
    <row r="25" spans="1:14" s="370" customFormat="1">
      <c r="A25" s="259" t="s">
        <v>235</v>
      </c>
      <c r="B25" s="36" t="s">
        <v>489</v>
      </c>
      <c r="C25" s="44">
        <v>251</v>
      </c>
      <c r="D25" s="45"/>
      <c r="E25" s="258">
        <v>0</v>
      </c>
      <c r="F25" s="303">
        <f>SUM(G25:M25)</f>
        <v>0</v>
      </c>
      <c r="G25" s="304"/>
      <c r="H25" s="304">
        <v>0</v>
      </c>
      <c r="I25" s="304"/>
      <c r="J25" s="304">
        <v>0</v>
      </c>
      <c r="K25" s="304">
        <v>0</v>
      </c>
      <c r="L25" s="304">
        <v>0</v>
      </c>
      <c r="M25" s="305">
        <v>0</v>
      </c>
      <c r="N25" s="535"/>
    </row>
    <row r="26" spans="1:14" ht="43.5">
      <c r="A26" s="259" t="s">
        <v>317</v>
      </c>
      <c r="B26" s="36"/>
      <c r="C26" s="44">
        <v>252</v>
      </c>
      <c r="D26" s="45"/>
      <c r="E26" s="258">
        <v>1206</v>
      </c>
      <c r="F26" s="303">
        <f t="shared" si="2"/>
        <v>1165</v>
      </c>
      <c r="G26" s="304"/>
      <c r="H26" s="304">
        <v>493</v>
      </c>
      <c r="I26" s="304"/>
      <c r="J26" s="304">
        <v>0</v>
      </c>
      <c r="K26" s="304">
        <v>0</v>
      </c>
      <c r="L26" s="304">
        <v>0</v>
      </c>
      <c r="M26" s="305">
        <v>672</v>
      </c>
      <c r="N26" s="318" t="s">
        <v>1364</v>
      </c>
    </row>
    <row r="27" spans="1:14">
      <c r="A27" s="259" t="s">
        <v>318</v>
      </c>
      <c r="B27" s="36"/>
      <c r="C27" s="44">
        <v>252</v>
      </c>
      <c r="D27" s="45"/>
      <c r="E27" s="258"/>
      <c r="F27" s="303">
        <f t="shared" si="2"/>
        <v>0</v>
      </c>
      <c r="G27" s="304"/>
      <c r="H27" s="304"/>
      <c r="I27" s="304"/>
      <c r="J27" s="304">
        <v>0</v>
      </c>
      <c r="K27" s="304">
        <v>0</v>
      </c>
      <c r="L27" s="304">
        <v>0</v>
      </c>
      <c r="M27" s="305">
        <v>0</v>
      </c>
      <c r="N27" s="348"/>
    </row>
    <row r="28" spans="1:14">
      <c r="A28" s="259" t="s">
        <v>244</v>
      </c>
      <c r="B28" s="36"/>
      <c r="C28" s="44">
        <v>253</v>
      </c>
      <c r="D28" s="259"/>
      <c r="E28" s="258"/>
      <c r="F28" s="303">
        <f t="shared" si="2"/>
        <v>0</v>
      </c>
      <c r="G28" s="304"/>
      <c r="H28" s="304"/>
      <c r="I28" s="304"/>
      <c r="J28" s="304">
        <v>0</v>
      </c>
      <c r="K28" s="304">
        <v>0</v>
      </c>
      <c r="L28" s="304">
        <v>0</v>
      </c>
      <c r="M28" s="305">
        <v>0</v>
      </c>
      <c r="N28" s="348"/>
    </row>
    <row r="29" spans="1:14">
      <c r="A29" s="259" t="s">
        <v>245</v>
      </c>
      <c r="B29" s="36"/>
      <c r="C29" s="44">
        <v>255</v>
      </c>
      <c r="D29" s="259"/>
      <c r="E29" s="258"/>
      <c r="F29" s="303">
        <f t="shared" si="2"/>
        <v>0</v>
      </c>
      <c r="G29" s="304"/>
      <c r="H29" s="304"/>
      <c r="I29" s="304"/>
      <c r="J29" s="304">
        <v>0</v>
      </c>
      <c r="K29" s="304">
        <v>0</v>
      </c>
      <c r="L29" s="304">
        <v>0</v>
      </c>
      <c r="M29" s="305">
        <v>0</v>
      </c>
      <c r="N29" s="348"/>
    </row>
    <row r="30" spans="1:14">
      <c r="A30" s="259" t="s">
        <v>246</v>
      </c>
      <c r="B30" s="36"/>
      <c r="C30" s="44">
        <v>256</v>
      </c>
      <c r="D30" s="259"/>
      <c r="E30" s="258"/>
      <c r="F30" s="303">
        <f t="shared" si="2"/>
        <v>0</v>
      </c>
      <c r="G30" s="304"/>
      <c r="H30" s="304"/>
      <c r="I30" s="304"/>
      <c r="J30" s="304">
        <v>0</v>
      </c>
      <c r="K30" s="304">
        <v>0</v>
      </c>
      <c r="L30" s="304">
        <v>0</v>
      </c>
      <c r="M30" s="305">
        <v>0</v>
      </c>
      <c r="N30" s="348"/>
    </row>
    <row r="31" spans="1:14">
      <c r="A31" s="259" t="s">
        <v>247</v>
      </c>
      <c r="B31" s="36"/>
      <c r="C31" s="44">
        <v>257</v>
      </c>
      <c r="D31" s="259"/>
      <c r="E31" s="258">
        <v>0</v>
      </c>
      <c r="F31" s="303">
        <f t="shared" si="2"/>
        <v>0</v>
      </c>
      <c r="G31" s="304"/>
      <c r="H31" s="304"/>
      <c r="I31" s="304"/>
      <c r="J31" s="304">
        <v>0</v>
      </c>
      <c r="K31" s="304">
        <v>0</v>
      </c>
      <c r="L31" s="304">
        <v>0</v>
      </c>
      <c r="M31" s="305">
        <v>0</v>
      </c>
      <c r="N31" s="348"/>
    </row>
    <row r="32" spans="1:14">
      <c r="A32" s="259" t="s">
        <v>248</v>
      </c>
      <c r="B32" s="36" t="s">
        <v>490</v>
      </c>
      <c r="C32" s="44" t="s">
        <v>249</v>
      </c>
      <c r="D32" s="259"/>
      <c r="E32" s="258">
        <v>0</v>
      </c>
      <c r="F32" s="303">
        <f t="shared" si="2"/>
        <v>0</v>
      </c>
      <c r="G32" s="304"/>
      <c r="H32" s="304">
        <v>0</v>
      </c>
      <c r="I32" s="304"/>
      <c r="J32" s="304">
        <v>0</v>
      </c>
      <c r="K32" s="304">
        <v>0</v>
      </c>
      <c r="L32" s="304">
        <v>0</v>
      </c>
      <c r="M32" s="305">
        <v>0</v>
      </c>
      <c r="N32" s="318" t="s">
        <v>491</v>
      </c>
    </row>
    <row r="33" spans="1:14" ht="29">
      <c r="A33" s="260" t="s">
        <v>250</v>
      </c>
      <c r="B33" s="36" t="s">
        <v>490</v>
      </c>
      <c r="C33" s="261" t="s">
        <v>251</v>
      </c>
      <c r="D33" s="260"/>
      <c r="E33" s="258">
        <v>0</v>
      </c>
      <c r="F33" s="303">
        <f t="shared" si="2"/>
        <v>0</v>
      </c>
      <c r="G33" s="304">
        <v>0</v>
      </c>
      <c r="H33" s="304">
        <v>0</v>
      </c>
      <c r="I33" s="304">
        <v>0</v>
      </c>
      <c r="J33" s="304">
        <v>0</v>
      </c>
      <c r="K33" s="304">
        <v>0</v>
      </c>
      <c r="L33" s="304">
        <v>0</v>
      </c>
      <c r="M33" s="305">
        <v>0</v>
      </c>
      <c r="N33" s="318" t="s">
        <v>492</v>
      </c>
    </row>
    <row r="34" spans="1:14">
      <c r="A34" s="40" t="s">
        <v>254</v>
      </c>
      <c r="B34" s="260"/>
      <c r="C34" s="261"/>
      <c r="D34" s="262"/>
      <c r="E34" s="42">
        <f t="shared" ref="E34:M34" si="3">SUM(E20:E33)</f>
        <v>1206</v>
      </c>
      <c r="F34" s="43">
        <f t="shared" si="3"/>
        <v>1165</v>
      </c>
      <c r="G34" s="43">
        <f t="shared" si="3"/>
        <v>0</v>
      </c>
      <c r="H34" s="43">
        <f t="shared" si="3"/>
        <v>493</v>
      </c>
      <c r="I34" s="43">
        <f t="shared" si="3"/>
        <v>0</v>
      </c>
      <c r="J34" s="43">
        <f t="shared" si="3"/>
        <v>0</v>
      </c>
      <c r="K34" s="43">
        <f t="shared" si="3"/>
        <v>0</v>
      </c>
      <c r="L34" s="43">
        <f t="shared" si="3"/>
        <v>0</v>
      </c>
      <c r="M34" s="43">
        <f t="shared" si="3"/>
        <v>672</v>
      </c>
      <c r="N34" s="348"/>
    </row>
    <row r="35" spans="1:14" s="149" customFormat="1">
      <c r="A35" s="40" t="s">
        <v>255</v>
      </c>
      <c r="B35" s="51"/>
      <c r="C35" s="147"/>
      <c r="D35" s="262"/>
      <c r="E35" s="236"/>
      <c r="F35" s="235">
        <v>0</v>
      </c>
      <c r="G35" s="235"/>
      <c r="H35" s="235">
        <v>0</v>
      </c>
      <c r="I35" s="235"/>
      <c r="J35" s="235"/>
      <c r="K35" s="235"/>
      <c r="L35" s="235"/>
      <c r="M35" s="235"/>
      <c r="N35" s="348"/>
    </row>
    <row r="36" spans="1:14">
      <c r="A36" s="40" t="s">
        <v>256</v>
      </c>
      <c r="B36" s="46"/>
      <c r="C36" s="47"/>
      <c r="D36" s="48">
        <f>D34+D18+D11</f>
        <v>0</v>
      </c>
      <c r="E36" s="17">
        <f t="shared" ref="E36:M36" si="4">E11+E18+E34</f>
        <v>2156</v>
      </c>
      <c r="F36" s="17">
        <f t="shared" si="4"/>
        <v>1518</v>
      </c>
      <c r="G36" s="17">
        <f t="shared" si="4"/>
        <v>0</v>
      </c>
      <c r="H36" s="17">
        <f t="shared" si="4"/>
        <v>493</v>
      </c>
      <c r="I36" s="17">
        <f t="shared" si="4"/>
        <v>0</v>
      </c>
      <c r="J36" s="17">
        <f t="shared" si="4"/>
        <v>0</v>
      </c>
      <c r="K36" s="17">
        <f t="shared" si="4"/>
        <v>283</v>
      </c>
      <c r="L36" s="17">
        <f t="shared" si="4"/>
        <v>0</v>
      </c>
      <c r="M36" s="17">
        <f t="shared" si="4"/>
        <v>742</v>
      </c>
      <c r="N36" s="346"/>
    </row>
    <row r="37" spans="1:14">
      <c r="A37" s="56"/>
      <c r="B37" s="370"/>
      <c r="C37" s="639"/>
      <c r="D37" s="370" t="s">
        <v>478</v>
      </c>
      <c r="E37" s="382">
        <v>771</v>
      </c>
      <c r="F37" s="257">
        <f>SUM(G40:L40)</f>
        <v>534</v>
      </c>
      <c r="G37" s="370"/>
      <c r="H37" s="370"/>
      <c r="I37" s="370"/>
      <c r="J37" s="370"/>
      <c r="K37" s="370"/>
      <c r="L37" s="370"/>
      <c r="M37" s="370"/>
      <c r="N37" s="370"/>
    </row>
    <row r="38" spans="1:14" s="279" customFormat="1" ht="29">
      <c r="A38" s="921" t="s">
        <v>390</v>
      </c>
      <c r="B38" s="922"/>
      <c r="C38" s="922"/>
      <c r="D38" s="922"/>
      <c r="E38" s="923"/>
      <c r="F38" s="292" t="s">
        <v>391</v>
      </c>
      <c r="G38" s="304" t="s">
        <v>0</v>
      </c>
      <c r="H38" s="304" t="s">
        <v>1</v>
      </c>
      <c r="I38" s="304" t="s">
        <v>2</v>
      </c>
      <c r="J38" s="304" t="s">
        <v>3</v>
      </c>
      <c r="K38" s="304" t="s">
        <v>4</v>
      </c>
      <c r="L38" s="304" t="s">
        <v>26</v>
      </c>
      <c r="M38" s="291" t="s">
        <v>214</v>
      </c>
      <c r="N38" s="348" t="s">
        <v>215</v>
      </c>
    </row>
    <row r="39" spans="1:14" s="279" customFormat="1">
      <c r="A39" s="924" t="s">
        <v>479</v>
      </c>
      <c r="B39" s="925"/>
      <c r="C39" s="925"/>
      <c r="D39" s="926"/>
      <c r="E39" s="89"/>
      <c r="F39" s="86"/>
      <c r="G39" s="419">
        <v>0.08</v>
      </c>
      <c r="H39" s="419">
        <v>0.23</v>
      </c>
      <c r="I39" s="419">
        <v>0.05</v>
      </c>
      <c r="J39" s="419">
        <v>0.04</v>
      </c>
      <c r="K39" s="419"/>
      <c r="L39" s="419"/>
      <c r="M39" s="419">
        <v>0.6</v>
      </c>
      <c r="N39" s="87"/>
    </row>
    <row r="40" spans="1:14" s="279" customFormat="1" ht="44" thickBot="1">
      <c r="A40" s="915" t="s">
        <v>462</v>
      </c>
      <c r="B40" s="916"/>
      <c r="C40" s="916"/>
      <c r="D40" s="917"/>
      <c r="E40" s="81"/>
      <c r="F40" s="82">
        <f>F36-B48</f>
        <v>1335</v>
      </c>
      <c r="G40" s="83">
        <f>($F40)*G39</f>
        <v>106.8</v>
      </c>
      <c r="H40" s="83">
        <f>($F40)*H39</f>
        <v>307.05</v>
      </c>
      <c r="I40" s="83">
        <f>($F40)*I39</f>
        <v>66.75</v>
      </c>
      <c r="J40" s="83">
        <f>($F40)*J39</f>
        <v>53.4</v>
      </c>
      <c r="K40" s="83">
        <f>$F40*K39</f>
        <v>0</v>
      </c>
      <c r="L40" s="83">
        <f>$F40*L39</f>
        <v>0</v>
      </c>
      <c r="M40" s="84">
        <f>($F40)*M39</f>
        <v>801</v>
      </c>
      <c r="N40" s="484" t="s">
        <v>493</v>
      </c>
    </row>
    <row r="41" spans="1:14" s="279" customFormat="1">
      <c r="A41" s="918" t="s">
        <v>394</v>
      </c>
      <c r="B41" s="919"/>
      <c r="C41" s="919"/>
      <c r="D41" s="920"/>
      <c r="E41" s="76"/>
      <c r="F41" s="77"/>
      <c r="G41" s="78">
        <f t="shared" ref="G41:L41" si="5">G36-G40</f>
        <v>-106.8</v>
      </c>
      <c r="H41" s="78">
        <f>H36-H40</f>
        <v>185.95</v>
      </c>
      <c r="I41" s="78">
        <f t="shared" si="5"/>
        <v>-66.75</v>
      </c>
      <c r="J41" s="78">
        <f t="shared" si="5"/>
        <v>-53.4</v>
      </c>
      <c r="K41" s="78">
        <f>K36-K40-B50</f>
        <v>100</v>
      </c>
      <c r="L41" s="78">
        <f t="shared" si="5"/>
        <v>0</v>
      </c>
      <c r="M41" s="79">
        <f>M36-M40</f>
        <v>-59</v>
      </c>
      <c r="N41" s="80"/>
    </row>
    <row r="43" spans="1:14">
      <c r="A43" s="370"/>
      <c r="B43" s="370"/>
      <c r="C43" s="639"/>
      <c r="D43" s="370"/>
      <c r="E43" s="370"/>
      <c r="F43" s="466">
        <f>+G39+H39+I39+J39</f>
        <v>0.39999999999999997</v>
      </c>
      <c r="G43" s="467">
        <f>+G39/$F$43</f>
        <v>0.2</v>
      </c>
      <c r="H43" s="467">
        <f>+H39/$F$43</f>
        <v>0.57500000000000007</v>
      </c>
      <c r="I43" s="467">
        <f>+I39/$F$43</f>
        <v>0.12500000000000003</v>
      </c>
      <c r="J43" s="467">
        <f>+J39/$F$43</f>
        <v>0.1</v>
      </c>
      <c r="K43" s="370"/>
      <c r="L43" s="370"/>
      <c r="M43" s="370"/>
      <c r="N43" s="370"/>
    </row>
    <row r="45" spans="1:14">
      <c r="A45" s="370"/>
      <c r="B45" s="370"/>
      <c r="C45" s="639"/>
      <c r="D45" s="370"/>
      <c r="E45" s="370"/>
      <c r="F45" s="370">
        <v>70000</v>
      </c>
      <c r="G45" s="370">
        <f>+G43*$F$45</f>
        <v>14000</v>
      </c>
      <c r="H45" s="370">
        <f>+H43*$F$45</f>
        <v>40250.000000000007</v>
      </c>
      <c r="I45" s="370">
        <f>+I43*$F$45</f>
        <v>8750.0000000000018</v>
      </c>
      <c r="J45" s="370">
        <f>+J43*$F$45</f>
        <v>7000</v>
      </c>
      <c r="K45" s="370"/>
      <c r="L45" s="370"/>
      <c r="M45" s="370"/>
      <c r="N45" s="370"/>
    </row>
    <row r="46" spans="1:14">
      <c r="A46" s="451" t="s">
        <v>494</v>
      </c>
      <c r="B46" s="370"/>
      <c r="C46" s="639"/>
      <c r="D46" s="370"/>
      <c r="E46" s="370"/>
      <c r="F46" s="370"/>
      <c r="G46" s="370"/>
      <c r="H46" s="370"/>
      <c r="I46" s="370"/>
      <c r="J46" s="370"/>
      <c r="K46" s="370"/>
      <c r="L46" s="370"/>
      <c r="M46" s="370"/>
      <c r="N46" s="370"/>
    </row>
    <row r="47" spans="1:14">
      <c r="A47" s="56" t="s">
        <v>300</v>
      </c>
      <c r="B47" s="377" t="s">
        <v>1012</v>
      </c>
      <c r="C47" s="31" t="s">
        <v>735</v>
      </c>
      <c r="D47" s="370"/>
      <c r="E47" s="370"/>
      <c r="F47" s="370"/>
      <c r="G47" s="370"/>
      <c r="H47" s="370"/>
      <c r="I47" s="370"/>
      <c r="J47" s="370"/>
      <c r="K47" s="370"/>
      <c r="L47" s="370"/>
      <c r="M47" s="370"/>
      <c r="N47" s="370"/>
    </row>
    <row r="48" spans="1:14">
      <c r="A48" s="57" t="s">
        <v>301</v>
      </c>
      <c r="B48" s="58">
        <f>54+129</f>
        <v>183</v>
      </c>
      <c r="C48" s="58">
        <v>228</v>
      </c>
      <c r="D48" s="370"/>
      <c r="E48" s="370"/>
      <c r="F48" s="370"/>
      <c r="G48" s="370"/>
      <c r="H48" s="370"/>
      <c r="I48" s="370"/>
      <c r="J48" s="370"/>
      <c r="K48" s="370"/>
      <c r="L48" s="370"/>
      <c r="M48" s="370"/>
      <c r="N48" s="370"/>
    </row>
    <row r="49" spans="1:14">
      <c r="A49" s="259" t="s">
        <v>302</v>
      </c>
      <c r="B49" s="59">
        <v>0</v>
      </c>
      <c r="C49" s="59">
        <v>0</v>
      </c>
      <c r="D49" s="370"/>
      <c r="E49" s="370"/>
      <c r="F49" s="370"/>
      <c r="G49" s="370"/>
      <c r="H49" s="370"/>
      <c r="I49" s="370"/>
      <c r="J49" s="370"/>
      <c r="K49" s="370"/>
      <c r="L49" s="370"/>
      <c r="M49" s="370"/>
      <c r="N49" s="370"/>
    </row>
    <row r="50" spans="1:14">
      <c r="A50" s="60" t="s">
        <v>495</v>
      </c>
      <c r="B50" s="61">
        <f>B48-B49</f>
        <v>183</v>
      </c>
      <c r="C50" s="61">
        <f>+C48-C49</f>
        <v>228</v>
      </c>
      <c r="D50" s="370"/>
      <c r="E50" s="370"/>
      <c r="F50" s="370"/>
      <c r="G50" s="370"/>
      <c r="H50" s="370"/>
      <c r="I50" s="370"/>
      <c r="J50" s="370"/>
      <c r="K50" s="370"/>
      <c r="L50" s="370"/>
      <c r="M50" s="370"/>
      <c r="N50" s="370"/>
    </row>
    <row r="51" spans="1:14">
      <c r="A51" s="370"/>
      <c r="B51" s="370"/>
      <c r="C51" s="639"/>
      <c r="D51" s="370"/>
      <c r="E51" s="370"/>
      <c r="F51" s="370"/>
      <c r="G51" s="370"/>
      <c r="H51" s="370"/>
      <c r="I51" s="370"/>
      <c r="J51" s="370"/>
      <c r="K51" s="370"/>
      <c r="L51" s="370"/>
      <c r="M51" s="370"/>
      <c r="N51" s="370"/>
    </row>
    <row r="53" spans="1:14" s="370" customFormat="1" ht="15" thickBot="1">
      <c r="A53" s="31"/>
      <c r="B53" s="31"/>
      <c r="C53" s="32"/>
      <c r="D53" s="31"/>
      <c r="E53" s="31"/>
      <c r="F53" s="31"/>
      <c r="G53" s="31"/>
      <c r="H53" s="31"/>
      <c r="I53" s="31"/>
      <c r="J53" s="31"/>
      <c r="K53" s="31"/>
      <c r="L53" s="31"/>
      <c r="M53" s="31"/>
      <c r="N53" s="536"/>
    </row>
    <row r="54" spans="1:14" s="370" customFormat="1" ht="15.5">
      <c r="A54" s="873" t="s">
        <v>257</v>
      </c>
      <c r="B54" s="874"/>
      <c r="C54" s="874"/>
      <c r="D54" s="874"/>
      <c r="E54" s="874"/>
      <c r="F54" s="874"/>
      <c r="G54" s="550"/>
      <c r="H54" s="31"/>
      <c r="I54" s="31"/>
      <c r="J54" s="31"/>
      <c r="K54" s="31"/>
      <c r="L54" s="31"/>
      <c r="M54" s="31"/>
      <c r="N54" s="536"/>
    </row>
    <row r="55" spans="1:14" s="370" customFormat="1" ht="15.5">
      <c r="A55" s="875"/>
      <c r="B55" s="876"/>
      <c r="C55" s="876"/>
      <c r="D55" s="876"/>
      <c r="E55" s="876"/>
      <c r="F55" s="876"/>
      <c r="G55" s="551"/>
      <c r="H55" s="31"/>
      <c r="I55" s="31"/>
      <c r="J55" s="31"/>
      <c r="K55" s="31"/>
      <c r="L55" s="31"/>
      <c r="M55" s="31"/>
      <c r="N55" s="536"/>
    </row>
    <row r="56" spans="1:14" s="370" customFormat="1">
      <c r="A56" s="877" t="s">
        <v>258</v>
      </c>
      <c r="B56" s="878"/>
      <c r="C56" s="552"/>
      <c r="D56" s="552"/>
      <c r="E56" s="552"/>
      <c r="F56" s="552"/>
      <c r="G56" s="551"/>
      <c r="H56" s="31"/>
      <c r="I56" s="31"/>
      <c r="J56" s="31"/>
      <c r="K56" s="31"/>
      <c r="L56" s="31"/>
      <c r="M56" s="31"/>
      <c r="N56" s="536"/>
    </row>
    <row r="57" spans="1:14" s="370" customFormat="1">
      <c r="A57" s="553" t="s">
        <v>1009</v>
      </c>
      <c r="B57" s="554">
        <f>E36</f>
        <v>2156</v>
      </c>
      <c r="C57" s="555"/>
      <c r="D57" s="556"/>
      <c r="E57" s="556"/>
      <c r="F57" s="556"/>
      <c r="G57" s="551"/>
      <c r="H57" s="31"/>
      <c r="I57" s="31"/>
      <c r="J57" s="31"/>
      <c r="K57" s="31"/>
      <c r="L57" s="31"/>
      <c r="M57" s="31"/>
      <c r="N57" s="536"/>
    </row>
    <row r="58" spans="1:14" s="370" customFormat="1">
      <c r="A58" s="557" t="s">
        <v>1010</v>
      </c>
      <c r="B58" s="558">
        <f>F36</f>
        <v>1518</v>
      </c>
      <c r="C58" s="555"/>
      <c r="D58" s="556"/>
      <c r="E58" s="556"/>
      <c r="F58" s="556"/>
      <c r="G58" s="551"/>
      <c r="H58" s="31"/>
      <c r="I58" s="31"/>
      <c r="J58" s="31"/>
      <c r="K58" s="31"/>
      <c r="L58" s="31"/>
      <c r="M58" s="31"/>
      <c r="N58" s="536"/>
    </row>
    <row r="59" spans="1:14" s="370" customFormat="1">
      <c r="A59" s="559" t="s">
        <v>259</v>
      </c>
      <c r="B59" s="560">
        <f>B58-B57</f>
        <v>-638</v>
      </c>
      <c r="C59" s="555"/>
      <c r="D59" s="556"/>
      <c r="E59" s="556"/>
      <c r="F59" s="556"/>
      <c r="G59" s="551"/>
      <c r="H59" s="31"/>
      <c r="I59" s="31"/>
      <c r="J59" s="31"/>
      <c r="K59" s="31"/>
      <c r="L59" s="31"/>
      <c r="M59" s="31"/>
      <c r="N59" s="536"/>
    </row>
    <row r="60" spans="1:14" s="370" customFormat="1">
      <c r="A60" s="559" t="s">
        <v>260</v>
      </c>
      <c r="B60" s="561">
        <f>B59/B57</f>
        <v>-0.29591836734693877</v>
      </c>
      <c r="C60" s="555"/>
      <c r="D60" s="556"/>
      <c r="E60" s="556"/>
      <c r="F60" s="556"/>
      <c r="G60" s="551"/>
      <c r="H60" s="31"/>
      <c r="I60" s="31"/>
      <c r="J60" s="31"/>
      <c r="K60" s="31"/>
      <c r="L60" s="31"/>
      <c r="M60" s="31"/>
      <c r="N60" s="536"/>
    </row>
    <row r="61" spans="1:14" s="370" customFormat="1">
      <c r="A61" s="562"/>
      <c r="B61" s="556"/>
      <c r="C61" s="660"/>
      <c r="D61" s="556"/>
      <c r="E61" s="556"/>
      <c r="F61" s="556"/>
      <c r="G61" s="551"/>
      <c r="H61" s="31"/>
      <c r="I61" s="31"/>
      <c r="J61" s="31"/>
      <c r="K61" s="31"/>
      <c r="L61" s="31"/>
      <c r="M61" s="31"/>
      <c r="N61" s="536"/>
    </row>
    <row r="62" spans="1:14" s="370" customFormat="1">
      <c r="A62" s="974" t="s">
        <v>480</v>
      </c>
      <c r="B62" s="880"/>
      <c r="C62" s="880"/>
      <c r="D62" s="880"/>
      <c r="E62" s="880"/>
      <c r="F62" s="880"/>
      <c r="G62" s="551"/>
      <c r="H62" s="31"/>
      <c r="I62" s="31"/>
      <c r="J62" s="31"/>
      <c r="K62" s="31"/>
      <c r="L62" s="31"/>
      <c r="M62" s="31"/>
      <c r="N62" s="536"/>
    </row>
    <row r="63" spans="1:14" s="370" customFormat="1" ht="27.9" customHeight="1">
      <c r="A63" s="900" t="s">
        <v>771</v>
      </c>
      <c r="B63" s="901"/>
      <c r="C63" s="901"/>
      <c r="D63" s="901"/>
      <c r="E63" s="901"/>
      <c r="F63" s="902"/>
      <c r="G63" s="551"/>
      <c r="H63" s="31"/>
      <c r="I63" s="31"/>
      <c r="J63" s="31"/>
      <c r="K63" s="31"/>
      <c r="L63" s="31"/>
      <c r="M63" s="31"/>
      <c r="N63" s="536"/>
    </row>
    <row r="64" spans="1:14" s="370" customFormat="1">
      <c r="A64" s="563"/>
      <c r="B64" s="564"/>
      <c r="C64" s="564"/>
      <c r="D64" s="564"/>
      <c r="E64" s="564"/>
      <c r="F64" s="564"/>
      <c r="G64" s="551"/>
      <c r="H64" s="31"/>
      <c r="I64" s="31"/>
      <c r="J64" s="31"/>
      <c r="K64" s="31"/>
      <c r="L64" s="31"/>
      <c r="M64" s="31"/>
      <c r="N64" s="536"/>
    </row>
    <row r="65" spans="1:14" s="370" customFormat="1">
      <c r="A65" s="565" t="s">
        <v>262</v>
      </c>
      <c r="B65" s="556"/>
      <c r="C65" s="716"/>
      <c r="D65" s="556"/>
      <c r="E65" s="556"/>
      <c r="F65" s="556"/>
      <c r="G65" s="551"/>
      <c r="H65" s="31"/>
      <c r="I65" s="31"/>
      <c r="J65" s="31"/>
      <c r="K65" s="31"/>
      <c r="L65" s="31"/>
      <c r="M65" s="31"/>
      <c r="N65" s="536"/>
    </row>
    <row r="66" spans="1:14" s="370" customFormat="1" ht="44.5" customHeight="1">
      <c r="A66" s="900" t="s">
        <v>772</v>
      </c>
      <c r="B66" s="901"/>
      <c r="C66" s="901"/>
      <c r="D66" s="901"/>
      <c r="E66" s="901"/>
      <c r="F66" s="902"/>
      <c r="G66" s="551"/>
      <c r="H66" s="31"/>
      <c r="I66" s="31"/>
      <c r="J66" s="31"/>
      <c r="K66" s="31"/>
      <c r="L66" s="31"/>
      <c r="M66" s="31"/>
      <c r="N66" s="536"/>
    </row>
    <row r="67" spans="1:14" s="370" customFormat="1">
      <c r="A67" s="562"/>
      <c r="B67" s="556"/>
      <c r="C67" s="716"/>
      <c r="D67" s="556"/>
      <c r="E67" s="556"/>
      <c r="F67" s="556"/>
      <c r="G67" s="551"/>
      <c r="H67" s="31"/>
      <c r="I67" s="31"/>
      <c r="J67" s="31"/>
      <c r="K67" s="31"/>
      <c r="L67" s="31"/>
      <c r="M67" s="31"/>
      <c r="N67" s="536"/>
    </row>
    <row r="68" spans="1:14" s="370" customFormat="1">
      <c r="A68" s="879" t="s">
        <v>1020</v>
      </c>
      <c r="B68" s="880"/>
      <c r="C68" s="880"/>
      <c r="D68" s="880"/>
      <c r="E68" s="880"/>
      <c r="F68" s="880"/>
      <c r="G68" s="551"/>
      <c r="H68" s="31"/>
      <c r="I68" s="31"/>
      <c r="J68" s="31"/>
      <c r="K68" s="31"/>
      <c r="L68" s="31"/>
      <c r="M68" s="31"/>
      <c r="N68" s="536"/>
    </row>
    <row r="69" spans="1:14" s="370" customFormat="1">
      <c r="A69" s="975" t="s">
        <v>1021</v>
      </c>
      <c r="B69" s="899"/>
      <c r="C69" s="899"/>
      <c r="D69" s="899"/>
      <c r="E69" s="899"/>
      <c r="F69" s="899"/>
      <c r="G69" s="551"/>
      <c r="H69" s="31"/>
      <c r="I69" s="31"/>
      <c r="J69" s="31"/>
      <c r="K69" s="31"/>
      <c r="L69" s="31"/>
      <c r="M69" s="31"/>
      <c r="N69" s="536"/>
    </row>
    <row r="70" spans="1:14" s="370" customFormat="1" ht="157" customHeight="1">
      <c r="A70" s="900" t="s">
        <v>482</v>
      </c>
      <c r="B70" s="890"/>
      <c r="C70" s="890"/>
      <c r="D70" s="890"/>
      <c r="E70" s="890"/>
      <c r="F70" s="891"/>
      <c r="G70" s="551"/>
      <c r="H70" s="31"/>
      <c r="I70" s="31"/>
      <c r="J70" s="31"/>
      <c r="K70" s="31"/>
      <c r="L70" s="31"/>
      <c r="M70" s="31"/>
      <c r="N70" s="536"/>
    </row>
    <row r="71" spans="1:14" s="370" customFormat="1">
      <c r="A71" s="565"/>
      <c r="B71" s="556"/>
      <c r="C71" s="716"/>
      <c r="D71" s="556"/>
      <c r="E71" s="556"/>
      <c r="F71" s="556"/>
      <c r="G71" s="551"/>
      <c r="H71" s="31"/>
      <c r="I71" s="31"/>
      <c r="J71" s="31"/>
      <c r="K71" s="31"/>
      <c r="L71" s="31"/>
      <c r="M71" s="31"/>
      <c r="N71" s="536"/>
    </row>
    <row r="72" spans="1:14" s="370" customFormat="1">
      <c r="A72" s="879" t="s">
        <v>264</v>
      </c>
      <c r="B72" s="880"/>
      <c r="C72" s="880"/>
      <c r="D72" s="880"/>
      <c r="E72" s="880"/>
      <c r="F72" s="556"/>
      <c r="G72" s="551"/>
      <c r="H72" s="31"/>
      <c r="I72" s="31"/>
      <c r="J72" s="31"/>
      <c r="K72" s="31"/>
      <c r="L72" s="31"/>
      <c r="M72" s="31"/>
      <c r="N72" s="536"/>
    </row>
    <row r="73" spans="1:14" s="370" customFormat="1">
      <c r="A73" s="889" t="s">
        <v>1165</v>
      </c>
      <c r="B73" s="890"/>
      <c r="C73" s="890"/>
      <c r="D73" s="890"/>
      <c r="E73" s="890"/>
      <c r="F73" s="891"/>
      <c r="G73" s="551"/>
      <c r="H73" s="31"/>
      <c r="I73" s="31"/>
      <c r="J73" s="31"/>
      <c r="K73" s="31"/>
      <c r="L73" s="31"/>
      <c r="M73" s="31"/>
      <c r="N73" s="536"/>
    </row>
    <row r="74" spans="1:14" s="370" customFormat="1">
      <c r="A74" s="562"/>
      <c r="B74" s="556"/>
      <c r="C74" s="716"/>
      <c r="D74" s="556"/>
      <c r="E74" s="556"/>
      <c r="F74" s="556"/>
      <c r="G74" s="551"/>
      <c r="H74" s="31"/>
      <c r="I74" s="31"/>
      <c r="J74" s="31"/>
      <c r="K74" s="31"/>
      <c r="L74" s="31"/>
      <c r="M74" s="31"/>
      <c r="N74" s="536"/>
    </row>
    <row r="75" spans="1:14" s="370" customFormat="1">
      <c r="A75" s="565" t="s">
        <v>265</v>
      </c>
      <c r="B75" s="556"/>
      <c r="C75" s="716"/>
      <c r="D75" s="556"/>
      <c r="E75" s="556"/>
      <c r="F75" s="556"/>
      <c r="G75" s="551"/>
      <c r="H75" s="31"/>
      <c r="I75" s="31"/>
      <c r="J75" s="31"/>
      <c r="K75" s="31"/>
      <c r="L75" s="31"/>
      <c r="M75" s="31"/>
      <c r="N75" s="536"/>
    </row>
    <row r="76" spans="1:14" s="370" customFormat="1">
      <c r="A76" s="566" t="s">
        <v>266</v>
      </c>
      <c r="B76" s="556"/>
      <c r="C76" s="716"/>
      <c r="D76" s="556"/>
      <c r="E76" s="556"/>
      <c r="F76" s="556"/>
      <c r="G76" s="551"/>
      <c r="H76" s="31"/>
      <c r="I76" s="31"/>
      <c r="J76" s="31"/>
      <c r="K76" s="31"/>
      <c r="L76" s="31"/>
      <c r="M76" s="31"/>
      <c r="N76" s="536"/>
    </row>
    <row r="77" spans="1:14" s="370" customFormat="1" ht="28.65" customHeight="1">
      <c r="A77" s="980" t="s">
        <v>1030</v>
      </c>
      <c r="B77" s="981"/>
      <c r="C77" s="981"/>
      <c r="D77" s="981"/>
      <c r="E77" s="981"/>
      <c r="F77" s="981"/>
      <c r="G77" s="551"/>
      <c r="H77" s="31"/>
      <c r="I77" s="31"/>
      <c r="J77" s="31"/>
      <c r="K77" s="31"/>
      <c r="L77" s="31"/>
      <c r="M77" s="31"/>
      <c r="N77" s="536"/>
    </row>
    <row r="78" spans="1:14" s="370" customFormat="1" ht="26.4" customHeight="1">
      <c r="A78" s="900" t="s">
        <v>773</v>
      </c>
      <c r="B78" s="901"/>
      <c r="C78" s="901"/>
      <c r="D78" s="901"/>
      <c r="E78" s="901"/>
      <c r="F78" s="902"/>
      <c r="G78" s="551"/>
      <c r="H78" s="31"/>
      <c r="I78" s="31"/>
      <c r="J78" s="31"/>
      <c r="K78" s="31"/>
      <c r="L78" s="31"/>
      <c r="M78" s="31"/>
      <c r="N78" s="536"/>
    </row>
    <row r="79" spans="1:14" s="370" customFormat="1">
      <c r="A79" s="894"/>
      <c r="B79" s="895"/>
      <c r="C79" s="895"/>
      <c r="D79" s="895"/>
      <c r="E79" s="895"/>
      <c r="F79" s="895"/>
      <c r="G79" s="551"/>
      <c r="H79" s="31"/>
      <c r="I79" s="31"/>
      <c r="J79" s="31"/>
      <c r="K79" s="31"/>
      <c r="L79" s="31"/>
      <c r="M79" s="31"/>
      <c r="N79" s="536"/>
    </row>
    <row r="80" spans="1:14" s="370" customFormat="1">
      <c r="A80" s="566" t="s">
        <v>268</v>
      </c>
      <c r="B80" s="556"/>
      <c r="C80" s="716"/>
      <c r="D80" s="556"/>
      <c r="E80" s="556"/>
      <c r="F80" s="556"/>
      <c r="G80" s="551"/>
      <c r="H80" s="31"/>
      <c r="I80" s="31"/>
      <c r="J80" s="31"/>
      <c r="K80" s="31"/>
      <c r="L80" s="31"/>
      <c r="M80" s="31"/>
      <c r="N80" s="536"/>
    </row>
    <row r="81" spans="1:14" s="370" customFormat="1" ht="23.25" customHeight="1">
      <c r="A81" s="978" t="s">
        <v>269</v>
      </c>
      <c r="B81" s="979"/>
      <c r="C81" s="979"/>
      <c r="D81" s="979"/>
      <c r="E81" s="979"/>
      <c r="F81" s="979"/>
      <c r="G81" s="551"/>
      <c r="H81" s="31"/>
      <c r="I81" s="31"/>
      <c r="J81" s="31"/>
      <c r="K81" s="31"/>
      <c r="L81" s="31"/>
      <c r="M81" s="31"/>
      <c r="N81" s="536"/>
    </row>
    <row r="82" spans="1:14" s="370" customFormat="1" ht="27.9" customHeight="1">
      <c r="A82" s="881"/>
      <c r="B82" s="882"/>
      <c r="C82" s="882"/>
      <c r="D82" s="882"/>
      <c r="E82" s="882"/>
      <c r="F82" s="883"/>
      <c r="G82" s="551"/>
      <c r="H82" s="31"/>
      <c r="I82" s="31"/>
      <c r="J82" s="31"/>
      <c r="K82" s="31"/>
      <c r="L82" s="31"/>
      <c r="M82" s="31"/>
      <c r="N82" s="536"/>
    </row>
    <row r="83" spans="1:14" s="370" customFormat="1" ht="15" thickBot="1">
      <c r="A83" s="567"/>
      <c r="B83" s="568"/>
      <c r="C83" s="569"/>
      <c r="D83" s="568"/>
      <c r="E83" s="568"/>
      <c r="F83" s="568"/>
      <c r="G83" s="570"/>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C85" s="717"/>
    </row>
    <row r="86" spans="1:14" s="370" customFormat="1">
      <c r="C86" s="717"/>
    </row>
    <row r="87" spans="1:14" s="370" customFormat="1">
      <c r="C87" s="717"/>
    </row>
    <row r="88" spans="1:14" s="370" customFormat="1">
      <c r="C88" s="717"/>
    </row>
    <row r="89" spans="1:14" s="370" customFormat="1">
      <c r="C89" s="717"/>
    </row>
    <row r="90" spans="1:14" s="370" customFormat="1">
      <c r="C90" s="717"/>
    </row>
    <row r="91" spans="1:14" s="370" customFormat="1">
      <c r="C91" s="717"/>
    </row>
    <row r="92" spans="1:14" s="370" customFormat="1">
      <c r="C92" s="717"/>
    </row>
    <row r="93" spans="1:14" s="370" customFormat="1">
      <c r="C93" s="717"/>
    </row>
    <row r="94" spans="1:14" s="370" customFormat="1">
      <c r="C94" s="661"/>
    </row>
    <row r="95" spans="1:14" s="370" customFormat="1">
      <c r="C95" s="661"/>
    </row>
    <row r="96" spans="1:14" s="370" customFormat="1">
      <c r="C96" s="661"/>
    </row>
    <row r="97" spans="3:3" s="370" customFormat="1">
      <c r="C97" s="661"/>
    </row>
    <row r="98" spans="3:3" s="370" customFormat="1">
      <c r="C98" s="661"/>
    </row>
    <row r="99" spans="3:3" s="370" customFormat="1">
      <c r="C99" s="661"/>
    </row>
    <row r="100" spans="3:3" s="370" customFormat="1">
      <c r="C100" s="661"/>
    </row>
    <row r="101" spans="3:3" s="370" customFormat="1">
      <c r="C101" s="661"/>
    </row>
    <row r="102" spans="3:3" s="370" customFormat="1">
      <c r="C102" s="661"/>
    </row>
    <row r="103" spans="3:3" s="370" customFormat="1">
      <c r="C103" s="661"/>
    </row>
    <row r="104" spans="3:3" s="370" customFormat="1">
      <c r="C104" s="661"/>
    </row>
    <row r="105" spans="3:3" s="370" customFormat="1">
      <c r="C105" s="661"/>
    </row>
    <row r="106" spans="3:3" s="370" customFormat="1">
      <c r="C106" s="661"/>
    </row>
    <row r="107" spans="3:3" s="370" customFormat="1">
      <c r="C107" s="661"/>
    </row>
    <row r="108" spans="3:3" s="370" customFormat="1">
      <c r="C108" s="661"/>
    </row>
    <row r="109" spans="3:3" s="370" customFormat="1">
      <c r="C109" s="661"/>
    </row>
    <row r="110" spans="3:3" s="370" customFormat="1">
      <c r="C110" s="661"/>
    </row>
    <row r="111" spans="3:3" s="370" customFormat="1">
      <c r="C111" s="661"/>
    </row>
    <row r="112" spans="3:3" s="370" customFormat="1">
      <c r="C112" s="661"/>
    </row>
    <row r="113" spans="3:3" s="370" customFormat="1">
      <c r="C113" s="661"/>
    </row>
    <row r="114" spans="3:3" s="370" customFormat="1">
      <c r="C114" s="661"/>
    </row>
    <row r="115" spans="3:3" s="370" customFormat="1">
      <c r="C115" s="661"/>
    </row>
    <row r="116" spans="3:3" s="370" customFormat="1">
      <c r="C116" s="661"/>
    </row>
    <row r="117" spans="3:3" s="370" customFormat="1">
      <c r="C117" s="661"/>
    </row>
    <row r="118" spans="3:3" s="370" customFormat="1">
      <c r="C118" s="661"/>
    </row>
    <row r="119" spans="3:3" s="370" customFormat="1">
      <c r="C119" s="661"/>
    </row>
    <row r="120" spans="3:3" s="370" customFormat="1">
      <c r="C120" s="661"/>
    </row>
    <row r="121" spans="3:3" s="370" customFormat="1">
      <c r="C121" s="661"/>
    </row>
    <row r="122" spans="3:3" s="370" customFormat="1">
      <c r="C122" s="661"/>
    </row>
    <row r="123" spans="3:3" s="370" customFormat="1">
      <c r="C123" s="661"/>
    </row>
    <row r="124" spans="3:3" s="370" customFormat="1">
      <c r="C124" s="661"/>
    </row>
    <row r="125" spans="3:3" s="370" customFormat="1">
      <c r="C125" s="661"/>
    </row>
    <row r="126" spans="3:3" s="370" customFormat="1">
      <c r="C126" s="661"/>
    </row>
    <row r="127" spans="3:3" s="370" customFormat="1">
      <c r="C127" s="661"/>
    </row>
    <row r="128" spans="3:3" s="370" customFormat="1">
      <c r="C128" s="661"/>
    </row>
    <row r="129" spans="3:3" s="370" customFormat="1">
      <c r="C129" s="661"/>
    </row>
    <row r="130" spans="3:3" s="370" customFormat="1">
      <c r="C130" s="661"/>
    </row>
    <row r="131" spans="3:3" s="370" customFormat="1">
      <c r="C131" s="661"/>
    </row>
    <row r="132" spans="3:3" s="370" customFormat="1">
      <c r="C132" s="661"/>
    </row>
    <row r="133" spans="3:3" s="370" customFormat="1">
      <c r="C133" s="661"/>
    </row>
    <row r="134" spans="3:3" s="370" customFormat="1">
      <c r="C134" s="661"/>
    </row>
    <row r="135" spans="3:3" s="370" customFormat="1">
      <c r="C135" s="661"/>
    </row>
    <row r="136" spans="3:3" s="370" customFormat="1">
      <c r="C136" s="661"/>
    </row>
    <row r="137" spans="3:3" s="370" customFormat="1">
      <c r="C137" s="661"/>
    </row>
    <row r="138" spans="3:3" s="370" customFormat="1">
      <c r="C138" s="661"/>
    </row>
    <row r="139" spans="3:3" s="370" customFormat="1">
      <c r="C139" s="661"/>
    </row>
    <row r="140" spans="3:3" s="370" customFormat="1">
      <c r="C140" s="661"/>
    </row>
    <row r="141" spans="3:3" s="370" customFormat="1">
      <c r="C141" s="661"/>
    </row>
    <row r="142" spans="3:3" s="370" customFormat="1">
      <c r="C142" s="661"/>
    </row>
    <row r="143" spans="3:3" s="370" customFormat="1">
      <c r="C143" s="661"/>
    </row>
    <row r="144" spans="3:3" s="370" customFormat="1">
      <c r="C144" s="661"/>
    </row>
    <row r="145" spans="3:3" s="370" customFormat="1">
      <c r="C145" s="661"/>
    </row>
    <row r="146" spans="3:3" s="370" customFormat="1">
      <c r="C146" s="661"/>
    </row>
    <row r="147" spans="3:3" s="370" customFormat="1">
      <c r="C147" s="661"/>
    </row>
    <row r="148" spans="3:3" s="370" customFormat="1">
      <c r="C148" s="661"/>
    </row>
    <row r="149" spans="3:3" s="370" customFormat="1">
      <c r="C149" s="661"/>
    </row>
    <row r="150" spans="3:3" s="370" customFormat="1">
      <c r="C150" s="661"/>
    </row>
    <row r="151" spans="3:3" s="370" customFormat="1">
      <c r="C151" s="661"/>
    </row>
    <row r="152" spans="3:3" s="370" customFormat="1">
      <c r="C152" s="661"/>
    </row>
    <row r="153" spans="3:3" s="370" customFormat="1">
      <c r="C153" s="661"/>
    </row>
    <row r="154" spans="3:3" s="370" customFormat="1">
      <c r="C154" s="661"/>
    </row>
    <row r="155" spans="3:3" s="370" customFormat="1">
      <c r="C155" s="661"/>
    </row>
    <row r="156" spans="3:3" s="370" customFormat="1">
      <c r="C156" s="661"/>
    </row>
    <row r="157" spans="3:3" s="370" customFormat="1">
      <c r="C157" s="661"/>
    </row>
    <row r="158" spans="3:3" s="370" customFormat="1">
      <c r="C158" s="661"/>
    </row>
    <row r="159" spans="3:3" s="370" customFormat="1">
      <c r="C159" s="661"/>
    </row>
    <row r="160" spans="3:3" s="370" customFormat="1">
      <c r="C160" s="661"/>
    </row>
    <row r="161" spans="3:3" s="370" customFormat="1">
      <c r="C161" s="661"/>
    </row>
    <row r="162" spans="3:3" s="370" customFormat="1">
      <c r="C162" s="661"/>
    </row>
    <row r="163" spans="3:3" s="370" customFormat="1">
      <c r="C163" s="661"/>
    </row>
    <row r="164" spans="3:3" s="370" customFormat="1">
      <c r="C164" s="661"/>
    </row>
    <row r="165" spans="3:3" s="370" customFormat="1">
      <c r="C165" s="661"/>
    </row>
    <row r="166" spans="3:3" s="370" customFormat="1">
      <c r="C166" s="661"/>
    </row>
    <row r="167" spans="3:3" s="370" customFormat="1">
      <c r="C167" s="661"/>
    </row>
    <row r="168" spans="3:3" s="370" customFormat="1">
      <c r="C168" s="661"/>
    </row>
    <row r="169" spans="3:3" s="370" customFormat="1">
      <c r="C169" s="661"/>
    </row>
    <row r="170" spans="3:3" s="370" customFormat="1">
      <c r="C170" s="661"/>
    </row>
    <row r="171" spans="3:3" s="370" customFormat="1">
      <c r="C171" s="661"/>
    </row>
    <row r="172" spans="3:3" s="370" customFormat="1">
      <c r="C172" s="661"/>
    </row>
    <row r="173" spans="3:3" s="370" customFormat="1">
      <c r="C173" s="661"/>
    </row>
    <row r="174" spans="3:3" s="370" customFormat="1">
      <c r="C174" s="661"/>
    </row>
    <row r="175" spans="3:3" s="370" customFormat="1">
      <c r="C175" s="661"/>
    </row>
    <row r="176" spans="3:3" s="370" customFormat="1">
      <c r="C176" s="661"/>
    </row>
    <row r="177" spans="3:3" s="370" customFormat="1">
      <c r="C177" s="661"/>
    </row>
    <row r="178" spans="3:3" s="370" customFormat="1">
      <c r="C178" s="661"/>
    </row>
    <row r="179" spans="3:3" s="370" customFormat="1">
      <c r="C179" s="661"/>
    </row>
    <row r="180" spans="3:3" s="370" customFormat="1">
      <c r="C180" s="661"/>
    </row>
    <row r="181" spans="3:3" s="370" customFormat="1">
      <c r="C181" s="661"/>
    </row>
    <row r="182" spans="3:3" s="370" customFormat="1">
      <c r="C182" s="661"/>
    </row>
    <row r="183" spans="3:3" s="370" customFormat="1">
      <c r="C183" s="661"/>
    </row>
    <row r="184" spans="3:3" s="370" customFormat="1">
      <c r="C184" s="661"/>
    </row>
    <row r="185" spans="3:3" s="370" customFormat="1">
      <c r="C185" s="661"/>
    </row>
    <row r="186" spans="3:3" s="370" customFormat="1">
      <c r="C186" s="661"/>
    </row>
    <row r="187" spans="3:3" s="370" customFormat="1">
      <c r="C187" s="661"/>
    </row>
    <row r="188" spans="3:3" s="370" customFormat="1">
      <c r="C188" s="661"/>
    </row>
    <row r="189" spans="3:3" s="370" customFormat="1">
      <c r="C189" s="661"/>
    </row>
    <row r="190" spans="3:3" s="370" customFormat="1">
      <c r="C190" s="661"/>
    </row>
    <row r="191" spans="3:3" s="370" customFormat="1">
      <c r="C191" s="661"/>
    </row>
    <row r="192" spans="3:3" s="370" customFormat="1">
      <c r="C192" s="661"/>
    </row>
    <row r="193" spans="3:3" s="370" customFormat="1">
      <c r="C193" s="661"/>
    </row>
    <row r="194" spans="3:3" s="370" customFormat="1">
      <c r="C194" s="661"/>
    </row>
    <row r="195" spans="3:3" s="370" customFormat="1">
      <c r="C195" s="661"/>
    </row>
    <row r="196" spans="3:3" s="370" customFormat="1">
      <c r="C196" s="661"/>
    </row>
    <row r="197" spans="3:3" s="370" customFormat="1">
      <c r="C197" s="661"/>
    </row>
    <row r="198" spans="3:3" s="370" customFormat="1">
      <c r="C198" s="661"/>
    </row>
    <row r="199" spans="3:3" s="370" customFormat="1">
      <c r="C199" s="661"/>
    </row>
    <row r="200" spans="3:3" s="370" customFormat="1">
      <c r="C200" s="661"/>
    </row>
    <row r="201" spans="3:3" s="370" customFormat="1">
      <c r="C201" s="661"/>
    </row>
    <row r="202" spans="3:3" s="370" customFormat="1">
      <c r="C202" s="661"/>
    </row>
    <row r="203" spans="3:3" s="370" customFormat="1">
      <c r="C203" s="661"/>
    </row>
    <row r="204" spans="3:3" s="370" customFormat="1">
      <c r="C204" s="661"/>
    </row>
    <row r="205" spans="3:3" s="370" customFormat="1">
      <c r="C205" s="661"/>
    </row>
    <row r="206" spans="3:3" s="370" customFormat="1">
      <c r="C206" s="661"/>
    </row>
  </sheetData>
  <mergeCells count="21">
    <mergeCell ref="A82:F82"/>
    <mergeCell ref="A73:F73"/>
    <mergeCell ref="A77:F77"/>
    <mergeCell ref="A78:F78"/>
    <mergeCell ref="A79:F79"/>
    <mergeCell ref="A81:F81"/>
    <mergeCell ref="A66:F66"/>
    <mergeCell ref="A68:F68"/>
    <mergeCell ref="A69:F69"/>
    <mergeCell ref="A70:F70"/>
    <mergeCell ref="A72:E72"/>
    <mergeCell ref="A54:F54"/>
    <mergeCell ref="A55:F55"/>
    <mergeCell ref="A56:B56"/>
    <mergeCell ref="A62:F62"/>
    <mergeCell ref="A63:F63"/>
    <mergeCell ref="A1:N1"/>
    <mergeCell ref="A38:E38"/>
    <mergeCell ref="A39:D39"/>
    <mergeCell ref="A40:D40"/>
    <mergeCell ref="A41:D41"/>
  </mergeCells>
  <printOptions horizontalCentered="1"/>
  <pageMargins left="0.2" right="0.2" top="0.75" bottom="0.75" header="0.3" footer="0.3"/>
  <pageSetup scale="74" orientation="landscape" r:id="rId1"/>
  <headerFooter>
    <oddHeader xml:space="preserve">&amp;CDRAFT NOT FOR DISTRIBUTION, INTERNAL USE ONLY
</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pageSetUpPr fitToPage="1"/>
  </sheetPr>
  <dimension ref="A1:N153"/>
  <sheetViews>
    <sheetView zoomScaleNormal="100" workbookViewId="0">
      <selection sqref="A1:N1"/>
    </sheetView>
  </sheetViews>
  <sheetFormatPr defaultRowHeight="14.5"/>
  <cols>
    <col min="1" max="1" width="39.54296875" customWidth="1"/>
    <col min="2" max="2" width="16.7265625" bestFit="1" customWidth="1"/>
    <col min="3" max="3" width="7.7265625" style="30" customWidth="1"/>
    <col min="4" max="4" width="16.81640625" customWidth="1"/>
    <col min="5" max="5" width="10.7265625" customWidth="1"/>
    <col min="6" max="6" width="11" customWidth="1"/>
    <col min="7" max="7" width="9.54296875" customWidth="1"/>
    <col min="8" max="8" width="8.453125" customWidth="1"/>
    <col min="9" max="10" width="9.81640625" bestFit="1" customWidth="1"/>
    <col min="11" max="11" width="7.7265625" customWidth="1"/>
    <col min="12" max="12" width="9.7265625" customWidth="1"/>
    <col min="13" max="13" width="9.1796875" customWidth="1"/>
    <col min="14" max="14" width="23.453125" customWidth="1"/>
  </cols>
  <sheetData>
    <row r="1" spans="1:14" ht="15.5">
      <c r="A1" s="854" t="s">
        <v>377</v>
      </c>
      <c r="B1" s="854"/>
      <c r="C1" s="854"/>
      <c r="D1" s="854"/>
      <c r="E1" s="854"/>
      <c r="F1" s="854"/>
      <c r="G1" s="854"/>
      <c r="H1" s="854"/>
      <c r="I1" s="854"/>
      <c r="J1" s="854"/>
      <c r="K1" s="854"/>
      <c r="L1" s="854"/>
      <c r="M1" s="854"/>
      <c r="N1" s="854"/>
    </row>
    <row r="2" spans="1:14">
      <c r="A2" s="702" t="s">
        <v>847</v>
      </c>
      <c r="B2" s="370"/>
      <c r="C2" s="639"/>
      <c r="D2" s="370"/>
      <c r="E2" s="370"/>
      <c r="F2" s="370"/>
      <c r="G2" s="370"/>
      <c r="H2" s="370"/>
      <c r="I2" s="370"/>
      <c r="J2" s="370"/>
      <c r="K2" s="370"/>
      <c r="L2" s="370"/>
      <c r="M2" s="370"/>
      <c r="N2" s="370"/>
    </row>
    <row r="3" spans="1:14">
      <c r="A3" s="506" t="s">
        <v>812</v>
      </c>
      <c r="B3" s="370"/>
      <c r="C3" s="639"/>
      <c r="D3" s="370"/>
      <c r="E3" s="29"/>
      <c r="F3" s="451" t="s">
        <v>210</v>
      </c>
      <c r="G3" s="29"/>
      <c r="H3" s="370"/>
      <c r="I3" s="370"/>
      <c r="J3" s="370"/>
      <c r="K3" s="370"/>
      <c r="L3" s="370"/>
      <c r="M3" s="370"/>
      <c r="N3" s="370"/>
    </row>
    <row r="4" spans="1:14">
      <c r="A4" s="506" t="s">
        <v>429</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249"/>
    </row>
    <row r="17" spans="1:14">
      <c r="A17" s="67" t="s">
        <v>220</v>
      </c>
      <c r="B17" s="68"/>
      <c r="C17" s="69"/>
      <c r="D17" s="68"/>
      <c r="E17" s="68"/>
      <c r="F17" s="70"/>
      <c r="G17" s="70"/>
      <c r="H17" s="70"/>
      <c r="I17" s="70"/>
      <c r="J17" s="70"/>
      <c r="K17" s="70"/>
      <c r="L17" s="70"/>
      <c r="M17" s="70"/>
      <c r="N17" s="70"/>
    </row>
    <row r="18" spans="1:14">
      <c r="A18" s="259" t="s">
        <v>278</v>
      </c>
      <c r="B18" s="259"/>
      <c r="C18" s="44">
        <v>253</v>
      </c>
      <c r="D18" s="45"/>
      <c r="E18" s="258">
        <v>0</v>
      </c>
      <c r="F18" s="303">
        <f t="shared" ref="F18:F21" si="2">SUM(G18:M18)</f>
        <v>0</v>
      </c>
      <c r="G18" s="304">
        <v>0</v>
      </c>
      <c r="H18" s="304">
        <v>0</v>
      </c>
      <c r="I18" s="304">
        <v>0</v>
      </c>
      <c r="J18" s="304">
        <v>0</v>
      </c>
      <c r="K18" s="304">
        <v>0</v>
      </c>
      <c r="L18" s="304">
        <v>0</v>
      </c>
      <c r="M18" s="305">
        <v>0</v>
      </c>
      <c r="N18" s="320"/>
    </row>
    <row r="19" spans="1:14">
      <c r="A19" s="259" t="s">
        <v>278</v>
      </c>
      <c r="B19" s="259"/>
      <c r="C19" s="44">
        <v>253</v>
      </c>
      <c r="D19" s="45"/>
      <c r="E19" s="258">
        <v>0</v>
      </c>
      <c r="F19" s="303">
        <f t="shared" si="2"/>
        <v>0</v>
      </c>
      <c r="G19" s="304">
        <v>0</v>
      </c>
      <c r="H19" s="304">
        <v>0</v>
      </c>
      <c r="I19" s="304">
        <v>0</v>
      </c>
      <c r="J19" s="304">
        <v>0</v>
      </c>
      <c r="K19" s="304">
        <v>0</v>
      </c>
      <c r="L19" s="304">
        <v>0</v>
      </c>
      <c r="M19" s="305">
        <v>0</v>
      </c>
      <c r="N19" s="319"/>
    </row>
    <row r="20" spans="1:14">
      <c r="A20" s="259" t="s">
        <v>278</v>
      </c>
      <c r="B20" s="259"/>
      <c r="C20" s="44">
        <v>253</v>
      </c>
      <c r="D20" s="262"/>
      <c r="E20" s="258">
        <v>0</v>
      </c>
      <c r="F20" s="303">
        <f t="shared" si="2"/>
        <v>0</v>
      </c>
      <c r="G20" s="304">
        <v>0</v>
      </c>
      <c r="H20" s="304">
        <v>0</v>
      </c>
      <c r="I20" s="304">
        <v>0</v>
      </c>
      <c r="J20" s="304">
        <v>0</v>
      </c>
      <c r="K20" s="304">
        <v>0</v>
      </c>
      <c r="L20" s="304">
        <v>0</v>
      </c>
      <c r="M20" s="305">
        <v>0</v>
      </c>
      <c r="N20" s="348"/>
    </row>
    <row r="21" spans="1:14" s="7" customFormat="1">
      <c r="A21" s="259" t="s">
        <v>278</v>
      </c>
      <c r="B21" s="259"/>
      <c r="C21" s="44">
        <v>253</v>
      </c>
      <c r="D21" s="262"/>
      <c r="E21" s="258">
        <v>0</v>
      </c>
      <c r="F21" s="303">
        <f t="shared" si="2"/>
        <v>0</v>
      </c>
      <c r="G21" s="304">
        <v>0</v>
      </c>
      <c r="H21" s="304">
        <v>0</v>
      </c>
      <c r="I21" s="304">
        <v>0</v>
      </c>
      <c r="J21" s="304">
        <v>0</v>
      </c>
      <c r="K21" s="304">
        <v>0</v>
      </c>
      <c r="L21" s="304">
        <v>0</v>
      </c>
      <c r="M21" s="305">
        <v>0</v>
      </c>
      <c r="N21" s="319"/>
    </row>
    <row r="22" spans="1:14">
      <c r="A22" s="40" t="s">
        <v>225</v>
      </c>
      <c r="B22" s="260"/>
      <c r="C22" s="261"/>
      <c r="D22" s="262">
        <f>SUM(D18:D21)</f>
        <v>0</v>
      </c>
      <c r="E22" s="42">
        <f>SUM(E18:E21)</f>
        <v>0</v>
      </c>
      <c r="F22" s="43">
        <f>SUM(F18:F21)</f>
        <v>0</v>
      </c>
      <c r="G22" s="43">
        <f t="shared" ref="G22:M22" si="3">SUM(G18:G21)</f>
        <v>0</v>
      </c>
      <c r="H22" s="43">
        <f t="shared" si="3"/>
        <v>0</v>
      </c>
      <c r="I22" s="43">
        <f t="shared" si="3"/>
        <v>0</v>
      </c>
      <c r="J22" s="43">
        <f t="shared" si="3"/>
        <v>0</v>
      </c>
      <c r="K22" s="43">
        <f t="shared" si="3"/>
        <v>0</v>
      </c>
      <c r="L22" s="43">
        <f t="shared" si="3"/>
        <v>0</v>
      </c>
      <c r="M22" s="43">
        <f t="shared" si="3"/>
        <v>0</v>
      </c>
      <c r="N22" s="348"/>
    </row>
    <row r="23" spans="1:14" s="7"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v>0</v>
      </c>
      <c r="F24" s="303">
        <f>SUM(G24:M24)</f>
        <v>0</v>
      </c>
      <c r="G24" s="304">
        <v>0</v>
      </c>
      <c r="H24" s="304">
        <v>0</v>
      </c>
      <c r="I24" s="304">
        <v>0</v>
      </c>
      <c r="J24" s="304">
        <v>0</v>
      </c>
      <c r="K24" s="304">
        <v>0</v>
      </c>
      <c r="L24" s="304">
        <v>0</v>
      </c>
      <c r="M24" s="305">
        <v>0</v>
      </c>
      <c r="N24" s="318"/>
    </row>
    <row r="25" spans="1:14">
      <c r="A25" s="259" t="s">
        <v>229</v>
      </c>
      <c r="B25" s="36"/>
      <c r="C25" s="44" t="s">
        <v>230</v>
      </c>
      <c r="D25" s="45"/>
      <c r="E25" s="258">
        <v>0</v>
      </c>
      <c r="F25" s="303">
        <f t="shared" ref="F25:F36" si="4">SUM(G25:M25)</f>
        <v>0</v>
      </c>
      <c r="G25" s="304">
        <v>0</v>
      </c>
      <c r="H25" s="304">
        <v>0</v>
      </c>
      <c r="I25" s="304">
        <v>0</v>
      </c>
      <c r="J25" s="304">
        <v>0</v>
      </c>
      <c r="K25" s="304">
        <v>0</v>
      </c>
      <c r="L25" s="304">
        <v>0</v>
      </c>
      <c r="M25" s="305">
        <v>0</v>
      </c>
      <c r="N25" s="348"/>
    </row>
    <row r="26" spans="1:14">
      <c r="A26" s="259" t="s">
        <v>231</v>
      </c>
      <c r="B26" s="36"/>
      <c r="C26" s="44" t="s">
        <v>232</v>
      </c>
      <c r="D26" s="45"/>
      <c r="E26" s="258">
        <v>0</v>
      </c>
      <c r="F26" s="303">
        <f t="shared" si="4"/>
        <v>0</v>
      </c>
      <c r="G26" s="304">
        <v>0</v>
      </c>
      <c r="H26" s="304">
        <v>0</v>
      </c>
      <c r="I26" s="304">
        <v>0</v>
      </c>
      <c r="J26" s="304">
        <v>0</v>
      </c>
      <c r="K26" s="304">
        <v>0</v>
      </c>
      <c r="L26" s="304">
        <v>0</v>
      </c>
      <c r="M26" s="305">
        <v>0</v>
      </c>
      <c r="N26" s="348"/>
    </row>
    <row r="27" spans="1:14">
      <c r="A27" s="259" t="s">
        <v>233</v>
      </c>
      <c r="B27" s="36"/>
      <c r="C27" s="44" t="s">
        <v>234</v>
      </c>
      <c r="D27" s="45"/>
      <c r="E27" s="258">
        <v>0</v>
      </c>
      <c r="F27" s="303">
        <f t="shared" si="4"/>
        <v>0</v>
      </c>
      <c r="G27" s="304">
        <v>0</v>
      </c>
      <c r="H27" s="304">
        <v>0</v>
      </c>
      <c r="I27" s="304">
        <v>0</v>
      </c>
      <c r="J27" s="304">
        <v>0</v>
      </c>
      <c r="K27" s="304">
        <v>0</v>
      </c>
      <c r="L27" s="304">
        <v>0</v>
      </c>
      <c r="M27" s="305">
        <v>0</v>
      </c>
      <c r="N27" s="348"/>
    </row>
    <row r="28" spans="1:14">
      <c r="A28" s="259" t="s">
        <v>235</v>
      </c>
      <c r="B28" s="36"/>
      <c r="C28" s="44">
        <v>251</v>
      </c>
      <c r="D28" s="45"/>
      <c r="E28" s="258">
        <v>0</v>
      </c>
      <c r="F28" s="303">
        <f t="shared" si="4"/>
        <v>0</v>
      </c>
      <c r="G28" s="304">
        <v>0</v>
      </c>
      <c r="H28" s="304">
        <v>0</v>
      </c>
      <c r="I28" s="304">
        <v>0</v>
      </c>
      <c r="J28" s="304">
        <v>0</v>
      </c>
      <c r="K28" s="304">
        <v>0</v>
      </c>
      <c r="L28" s="304">
        <v>0</v>
      </c>
      <c r="M28" s="305">
        <v>0</v>
      </c>
      <c r="N28" s="348"/>
    </row>
    <row r="29" spans="1:14">
      <c r="A29" s="259" t="s">
        <v>242</v>
      </c>
      <c r="B29" s="36"/>
      <c r="C29" s="44">
        <v>252</v>
      </c>
      <c r="D29" s="45"/>
      <c r="E29" s="258">
        <v>0</v>
      </c>
      <c r="F29" s="303">
        <f t="shared" si="4"/>
        <v>0</v>
      </c>
      <c r="G29" s="304">
        <v>0</v>
      </c>
      <c r="H29" s="304">
        <v>0</v>
      </c>
      <c r="I29" s="304">
        <v>0</v>
      </c>
      <c r="J29" s="304">
        <v>0</v>
      </c>
      <c r="K29" s="304">
        <v>0</v>
      </c>
      <c r="L29" s="304">
        <v>0</v>
      </c>
      <c r="M29" s="305">
        <v>0</v>
      </c>
      <c r="N29" s="348"/>
    </row>
    <row r="30" spans="1:14">
      <c r="A30" s="259" t="s">
        <v>243</v>
      </c>
      <c r="B30" s="36"/>
      <c r="C30" s="44">
        <v>252</v>
      </c>
      <c r="D30" s="45"/>
      <c r="E30" s="258">
        <v>0</v>
      </c>
      <c r="F30" s="303">
        <f t="shared" si="4"/>
        <v>0</v>
      </c>
      <c r="G30" s="304">
        <v>0</v>
      </c>
      <c r="H30" s="304">
        <v>0</v>
      </c>
      <c r="I30" s="304">
        <v>0</v>
      </c>
      <c r="J30" s="304">
        <v>0</v>
      </c>
      <c r="K30" s="304">
        <v>0</v>
      </c>
      <c r="L30" s="304">
        <v>0</v>
      </c>
      <c r="M30" s="305">
        <v>0</v>
      </c>
      <c r="N30" s="348"/>
    </row>
    <row r="31" spans="1:14">
      <c r="A31" s="259" t="s">
        <v>244</v>
      </c>
      <c r="B31" s="36"/>
      <c r="C31" s="44">
        <v>253</v>
      </c>
      <c r="D31" s="259"/>
      <c r="E31" s="258">
        <v>0</v>
      </c>
      <c r="F31" s="303">
        <f t="shared" si="4"/>
        <v>0</v>
      </c>
      <c r="G31" s="304">
        <v>0</v>
      </c>
      <c r="H31" s="304">
        <v>0</v>
      </c>
      <c r="I31" s="304">
        <v>0</v>
      </c>
      <c r="J31" s="304">
        <v>0</v>
      </c>
      <c r="K31" s="304">
        <v>0</v>
      </c>
      <c r="L31" s="304">
        <v>0</v>
      </c>
      <c r="M31" s="305">
        <v>0</v>
      </c>
      <c r="N31" s="348"/>
    </row>
    <row r="32" spans="1:14">
      <c r="A32" s="259" t="s">
        <v>245</v>
      </c>
      <c r="B32" s="36"/>
      <c r="C32" s="44">
        <v>255</v>
      </c>
      <c r="D32" s="259"/>
      <c r="E32" s="258">
        <v>0</v>
      </c>
      <c r="F32" s="303">
        <f t="shared" si="4"/>
        <v>0</v>
      </c>
      <c r="G32" s="304">
        <v>0</v>
      </c>
      <c r="H32" s="304">
        <v>0</v>
      </c>
      <c r="I32" s="304">
        <v>0</v>
      </c>
      <c r="J32" s="304">
        <v>0</v>
      </c>
      <c r="K32" s="304">
        <v>0</v>
      </c>
      <c r="L32" s="304">
        <v>0</v>
      </c>
      <c r="M32" s="305">
        <v>0</v>
      </c>
      <c r="N32" s="348"/>
    </row>
    <row r="33" spans="1:14">
      <c r="A33" s="259" t="s">
        <v>246</v>
      </c>
      <c r="B33" s="36"/>
      <c r="C33" s="44">
        <v>256</v>
      </c>
      <c r="D33" s="259"/>
      <c r="E33" s="258">
        <v>0</v>
      </c>
      <c r="F33" s="303">
        <f t="shared" si="4"/>
        <v>0</v>
      </c>
      <c r="G33" s="304">
        <v>0</v>
      </c>
      <c r="H33" s="304">
        <v>0</v>
      </c>
      <c r="I33" s="304">
        <v>0</v>
      </c>
      <c r="J33" s="304">
        <v>0</v>
      </c>
      <c r="K33" s="304">
        <v>0</v>
      </c>
      <c r="L33" s="304">
        <v>0</v>
      </c>
      <c r="M33" s="305">
        <v>0</v>
      </c>
      <c r="N33" s="348"/>
    </row>
    <row r="34" spans="1:14">
      <c r="A34" s="259" t="s">
        <v>247</v>
      </c>
      <c r="B34" s="36"/>
      <c r="C34" s="44">
        <v>257</v>
      </c>
      <c r="D34" s="259"/>
      <c r="E34" s="258">
        <v>496</v>
      </c>
      <c r="F34" s="303">
        <f t="shared" si="4"/>
        <v>516</v>
      </c>
      <c r="G34" s="304">
        <v>0</v>
      </c>
      <c r="H34" s="304">
        <v>516</v>
      </c>
      <c r="I34" s="304">
        <v>0</v>
      </c>
      <c r="J34" s="304">
        <v>0</v>
      </c>
      <c r="K34" s="304">
        <v>0</v>
      </c>
      <c r="L34" s="304">
        <v>0</v>
      </c>
      <c r="M34" s="305">
        <v>0</v>
      </c>
      <c r="N34" s="318"/>
    </row>
    <row r="35" spans="1:14">
      <c r="A35" s="259" t="s">
        <v>248</v>
      </c>
      <c r="B35" s="36"/>
      <c r="C35" s="44" t="s">
        <v>249</v>
      </c>
      <c r="D35" s="259"/>
      <c r="E35" s="258">
        <v>0</v>
      </c>
      <c r="F35" s="303">
        <f t="shared" si="4"/>
        <v>0</v>
      </c>
      <c r="G35" s="304">
        <v>0</v>
      </c>
      <c r="H35" s="304">
        <v>0</v>
      </c>
      <c r="I35" s="304">
        <v>0</v>
      </c>
      <c r="J35" s="304">
        <v>0</v>
      </c>
      <c r="K35" s="304">
        <v>0</v>
      </c>
      <c r="L35" s="304">
        <v>0</v>
      </c>
      <c r="M35" s="305">
        <v>0</v>
      </c>
      <c r="N35" s="348"/>
    </row>
    <row r="36" spans="1:14" ht="43.5">
      <c r="A36" s="260" t="s">
        <v>250</v>
      </c>
      <c r="B36" s="36"/>
      <c r="C36" s="261" t="s">
        <v>251</v>
      </c>
      <c r="D36" s="260"/>
      <c r="E36" s="258">
        <v>0</v>
      </c>
      <c r="F36" s="303">
        <f t="shared" si="4"/>
        <v>25</v>
      </c>
      <c r="G36" s="304">
        <v>0</v>
      </c>
      <c r="H36" s="304">
        <v>25</v>
      </c>
      <c r="I36" s="304">
        <v>0</v>
      </c>
      <c r="J36" s="304">
        <v>0</v>
      </c>
      <c r="K36" s="304">
        <v>0</v>
      </c>
      <c r="L36" s="304">
        <v>0</v>
      </c>
      <c r="M36" s="305">
        <v>0</v>
      </c>
      <c r="N36" s="318" t="s">
        <v>1236</v>
      </c>
    </row>
    <row r="37" spans="1:14">
      <c r="A37" s="40" t="s">
        <v>254</v>
      </c>
      <c r="B37" s="260"/>
      <c r="C37" s="261"/>
      <c r="D37" s="262"/>
      <c r="E37" s="42">
        <f t="shared" ref="E37:M37" si="5">SUM(E24:E36)</f>
        <v>496</v>
      </c>
      <c r="F37" s="43">
        <f t="shared" si="5"/>
        <v>541</v>
      </c>
      <c r="G37" s="43">
        <f t="shared" si="5"/>
        <v>0</v>
      </c>
      <c r="H37" s="43">
        <f t="shared" si="5"/>
        <v>541</v>
      </c>
      <c r="I37" s="43">
        <f t="shared" si="5"/>
        <v>0</v>
      </c>
      <c r="J37" s="43">
        <f t="shared" si="5"/>
        <v>0</v>
      </c>
      <c r="K37" s="43">
        <f t="shared" si="5"/>
        <v>0</v>
      </c>
      <c r="L37" s="43">
        <f t="shared" si="5"/>
        <v>0</v>
      </c>
      <c r="M37" s="43">
        <f t="shared" si="5"/>
        <v>0</v>
      </c>
      <c r="N37" s="72"/>
    </row>
    <row r="38" spans="1:14" s="149" customFormat="1">
      <c r="A38" s="40" t="s">
        <v>255</v>
      </c>
      <c r="B38" s="51"/>
      <c r="C38" s="147"/>
      <c r="D38" s="262"/>
      <c r="E38" s="42"/>
      <c r="F38" s="235">
        <v>0</v>
      </c>
      <c r="G38" s="235"/>
      <c r="H38" s="235">
        <v>0</v>
      </c>
      <c r="I38" s="235"/>
      <c r="J38" s="235"/>
      <c r="K38" s="235"/>
      <c r="L38" s="235"/>
      <c r="M38" s="235"/>
      <c r="N38" s="348"/>
    </row>
    <row r="39" spans="1:14">
      <c r="A39" s="40" t="s">
        <v>256</v>
      </c>
      <c r="B39" s="46"/>
      <c r="C39" s="47"/>
      <c r="D39" s="73">
        <f>D37+D22+D16</f>
        <v>0</v>
      </c>
      <c r="E39" s="42">
        <f>E37+E22+E16-E38</f>
        <v>496</v>
      </c>
      <c r="F39" s="74">
        <f t="shared" ref="F39:M39" si="6">F37+F22+F16-F38</f>
        <v>541</v>
      </c>
      <c r="G39" s="74">
        <f t="shared" si="6"/>
        <v>0</v>
      </c>
      <c r="H39" s="74">
        <f t="shared" si="6"/>
        <v>541</v>
      </c>
      <c r="I39" s="74">
        <f t="shared" si="6"/>
        <v>0</v>
      </c>
      <c r="J39" s="74">
        <f t="shared" si="6"/>
        <v>0</v>
      </c>
      <c r="K39" s="74">
        <f t="shared" si="6"/>
        <v>0</v>
      </c>
      <c r="L39" s="74">
        <f t="shared" si="6"/>
        <v>0</v>
      </c>
      <c r="M39" s="74">
        <f t="shared" si="6"/>
        <v>0</v>
      </c>
      <c r="N39" s="75"/>
    </row>
    <row r="41" spans="1:14">
      <c r="A41" s="921" t="s">
        <v>390</v>
      </c>
      <c r="B41" s="922"/>
      <c r="C41" s="922"/>
      <c r="D41" s="922"/>
      <c r="E41" s="923"/>
      <c r="F41" s="303" t="s">
        <v>391</v>
      </c>
      <c r="G41" s="304" t="s">
        <v>0</v>
      </c>
      <c r="H41" s="304" t="s">
        <v>1</v>
      </c>
      <c r="I41" s="304" t="s">
        <v>2</v>
      </c>
      <c r="J41" s="304" t="s">
        <v>3</v>
      </c>
      <c r="K41" s="304" t="s">
        <v>4</v>
      </c>
      <c r="L41" s="304" t="s">
        <v>26</v>
      </c>
      <c r="M41" s="305"/>
      <c r="N41" s="348" t="s">
        <v>215</v>
      </c>
    </row>
    <row r="42" spans="1:14">
      <c r="A42" s="924" t="s">
        <v>392</v>
      </c>
      <c r="B42" s="925"/>
      <c r="C42" s="925"/>
      <c r="D42" s="926"/>
      <c r="E42" s="89"/>
      <c r="F42" s="86"/>
      <c r="G42" s="801">
        <f>+G43/$F$43</f>
        <v>0.43807763401109057</v>
      </c>
      <c r="H42" s="88"/>
      <c r="I42" s="801">
        <f t="shared" ref="I42:J42" si="7">+I43/$F$43</f>
        <v>0.26802218114602588</v>
      </c>
      <c r="J42" s="801">
        <f t="shared" si="7"/>
        <v>0.29390018484288355</v>
      </c>
      <c r="K42" s="88"/>
      <c r="L42" s="88"/>
      <c r="M42" s="86"/>
      <c r="N42" s="87"/>
    </row>
    <row r="43" spans="1:14" ht="15" thickBot="1">
      <c r="A43" s="971" t="s">
        <v>393</v>
      </c>
      <c r="B43" s="972"/>
      <c r="C43" s="972"/>
      <c r="D43" s="973"/>
      <c r="E43" s="258"/>
      <c r="F43" s="303">
        <f>F39</f>
        <v>541</v>
      </c>
      <c r="G43" s="304">
        <v>237</v>
      </c>
      <c r="H43" s="304">
        <f>$F43*H42</f>
        <v>0</v>
      </c>
      <c r="I43" s="304">
        <v>145</v>
      </c>
      <c r="J43" s="304">
        <v>159</v>
      </c>
      <c r="K43" s="304">
        <f>ROUND($F43*H$21,0)</f>
        <v>0</v>
      </c>
      <c r="L43" s="304">
        <f>ROUND($F43*I$21,0)</f>
        <v>0</v>
      </c>
      <c r="M43" s="305">
        <f>ROUND($F43*J$21,0)</f>
        <v>0</v>
      </c>
      <c r="N43" s="348" t="s">
        <v>496</v>
      </c>
    </row>
    <row r="44" spans="1:14">
      <c r="A44" s="918" t="s">
        <v>394</v>
      </c>
      <c r="B44" s="919"/>
      <c r="C44" s="919"/>
      <c r="D44" s="920"/>
      <c r="E44" s="76"/>
      <c r="F44" s="77"/>
      <c r="G44" s="78">
        <f>G39-G43</f>
        <v>-237</v>
      </c>
      <c r="H44" s="78">
        <f t="shared" ref="H44:M44" si="8">H39-H43</f>
        <v>541</v>
      </c>
      <c r="I44" s="78">
        <f t="shared" si="8"/>
        <v>-145</v>
      </c>
      <c r="J44" s="78">
        <f t="shared" si="8"/>
        <v>-159</v>
      </c>
      <c r="K44" s="78">
        <f t="shared" si="8"/>
        <v>0</v>
      </c>
      <c r="L44" s="78">
        <f t="shared" si="8"/>
        <v>0</v>
      </c>
      <c r="M44" s="79">
        <f t="shared" si="8"/>
        <v>0</v>
      </c>
      <c r="N44" s="80"/>
    </row>
    <row r="47" spans="1:14" s="370" customFormat="1" ht="15" thickBot="1">
      <c r="A47" s="31"/>
      <c r="B47" s="31"/>
      <c r="C47" s="32"/>
      <c r="D47" s="31"/>
      <c r="E47" s="31"/>
      <c r="F47" s="31"/>
      <c r="G47" s="31"/>
      <c r="H47" s="31"/>
      <c r="I47" s="31"/>
      <c r="J47" s="31"/>
      <c r="K47" s="31"/>
      <c r="L47" s="31"/>
      <c r="M47" s="31"/>
      <c r="N47" s="536"/>
    </row>
    <row r="48" spans="1:14" s="370" customFormat="1" ht="15.5">
      <c r="A48" s="873" t="s">
        <v>257</v>
      </c>
      <c r="B48" s="874"/>
      <c r="C48" s="874"/>
      <c r="D48" s="874"/>
      <c r="E48" s="874"/>
      <c r="F48" s="874"/>
      <c r="G48" s="550"/>
      <c r="H48" s="31"/>
      <c r="I48" s="31"/>
      <c r="J48" s="31"/>
      <c r="K48" s="31"/>
      <c r="L48" s="31"/>
      <c r="M48" s="31"/>
      <c r="N48" s="536"/>
    </row>
    <row r="49" spans="1:14" s="370" customFormat="1" ht="15.5">
      <c r="A49" s="875"/>
      <c r="B49" s="876"/>
      <c r="C49" s="876"/>
      <c r="D49" s="876"/>
      <c r="E49" s="876"/>
      <c r="F49" s="876"/>
      <c r="G49" s="551"/>
      <c r="H49" s="31"/>
      <c r="I49" s="31"/>
      <c r="J49" s="31"/>
      <c r="K49" s="31"/>
      <c r="L49" s="31"/>
      <c r="M49" s="31"/>
      <c r="N49" s="536"/>
    </row>
    <row r="50" spans="1:14" s="370" customFormat="1">
      <c r="A50" s="877" t="s">
        <v>258</v>
      </c>
      <c r="B50" s="878"/>
      <c r="C50" s="552"/>
      <c r="D50" s="552"/>
      <c r="E50" s="552"/>
      <c r="F50" s="552"/>
      <c r="G50" s="551"/>
      <c r="H50" s="31"/>
      <c r="I50" s="31"/>
      <c r="J50" s="31"/>
      <c r="K50" s="31"/>
      <c r="L50" s="31"/>
      <c r="M50" s="31"/>
      <c r="N50" s="536"/>
    </row>
    <row r="51" spans="1:14" s="370" customFormat="1">
      <c r="A51" s="553" t="s">
        <v>1028</v>
      </c>
      <c r="B51" s="554">
        <f>E39</f>
        <v>496</v>
      </c>
      <c r="C51" s="555"/>
      <c r="D51" s="556"/>
      <c r="E51" s="556"/>
      <c r="F51" s="556"/>
      <c r="G51" s="551"/>
      <c r="H51" s="31"/>
      <c r="I51" s="31"/>
      <c r="J51" s="31"/>
      <c r="K51" s="31"/>
      <c r="L51" s="31"/>
      <c r="M51" s="31"/>
      <c r="N51" s="536"/>
    </row>
    <row r="52" spans="1:14" s="370" customFormat="1">
      <c r="A52" s="557" t="s">
        <v>1029</v>
      </c>
      <c r="B52" s="558">
        <f>F39</f>
        <v>541</v>
      </c>
      <c r="C52" s="555"/>
      <c r="D52" s="556"/>
      <c r="E52" s="556"/>
      <c r="F52" s="556"/>
      <c r="G52" s="551"/>
      <c r="H52" s="31"/>
      <c r="I52" s="31"/>
      <c r="J52" s="31"/>
      <c r="K52" s="31"/>
      <c r="L52" s="31"/>
      <c r="M52" s="31"/>
      <c r="N52" s="536"/>
    </row>
    <row r="53" spans="1:14" s="370" customFormat="1">
      <c r="A53" s="559" t="s">
        <v>259</v>
      </c>
      <c r="B53" s="560">
        <f>B52-B51</f>
        <v>45</v>
      </c>
      <c r="C53" s="555"/>
      <c r="D53" s="556"/>
      <c r="E53" s="556"/>
      <c r="F53" s="556"/>
      <c r="G53" s="551"/>
      <c r="H53" s="31"/>
      <c r="I53" s="31"/>
      <c r="J53" s="31"/>
      <c r="K53" s="31"/>
      <c r="L53" s="31"/>
      <c r="M53" s="31"/>
      <c r="N53" s="536"/>
    </row>
    <row r="54" spans="1:14" s="370" customFormat="1">
      <c r="A54" s="559" t="s">
        <v>260</v>
      </c>
      <c r="B54" s="561">
        <f>B53/B51</f>
        <v>9.0725806451612906E-2</v>
      </c>
      <c r="C54" s="555"/>
      <c r="D54" s="556"/>
      <c r="E54" s="556"/>
      <c r="F54" s="556"/>
      <c r="G54" s="551"/>
      <c r="H54" s="31"/>
      <c r="I54" s="31"/>
      <c r="J54" s="31"/>
      <c r="K54" s="31"/>
      <c r="L54" s="31"/>
      <c r="M54" s="31"/>
      <c r="N54" s="536"/>
    </row>
    <row r="55" spans="1:14" s="370" customFormat="1">
      <c r="A55" s="562"/>
      <c r="B55" s="556"/>
      <c r="C55" s="660"/>
      <c r="D55" s="556"/>
      <c r="E55" s="556"/>
      <c r="F55" s="556"/>
      <c r="G55" s="551"/>
      <c r="H55" s="31"/>
      <c r="I55" s="31"/>
      <c r="J55" s="31"/>
      <c r="K55" s="31"/>
      <c r="L55" s="31"/>
      <c r="M55" s="31"/>
      <c r="N55" s="536"/>
    </row>
    <row r="56" spans="1:14" s="370" customFormat="1">
      <c r="A56" s="879" t="s">
        <v>261</v>
      </c>
      <c r="B56" s="880"/>
      <c r="C56" s="880"/>
      <c r="D56" s="880"/>
      <c r="E56" s="880"/>
      <c r="F56" s="880"/>
      <c r="G56" s="551"/>
      <c r="H56" s="31"/>
      <c r="I56" s="31"/>
      <c r="J56" s="31"/>
      <c r="K56" s="31"/>
      <c r="L56" s="31"/>
      <c r="M56" s="31"/>
      <c r="N56" s="536"/>
    </row>
    <row r="57" spans="1:14" s="370" customFormat="1" ht="32.75" customHeight="1">
      <c r="A57" s="881" t="s">
        <v>1169</v>
      </c>
      <c r="B57" s="882"/>
      <c r="C57" s="882"/>
      <c r="D57" s="882"/>
      <c r="E57" s="882"/>
      <c r="F57" s="883"/>
      <c r="G57" s="551"/>
      <c r="H57" s="31"/>
      <c r="I57" s="31"/>
      <c r="J57" s="31"/>
      <c r="K57" s="31"/>
      <c r="L57" s="31"/>
      <c r="M57" s="31"/>
      <c r="N57" s="536"/>
    </row>
    <row r="58" spans="1:14" s="370" customFormat="1">
      <c r="A58" s="563"/>
      <c r="B58" s="564"/>
      <c r="C58" s="564"/>
      <c r="D58" s="564"/>
      <c r="E58" s="564"/>
      <c r="F58" s="564"/>
      <c r="G58" s="551"/>
      <c r="H58" s="31"/>
      <c r="I58" s="31"/>
      <c r="J58" s="31"/>
      <c r="K58" s="31"/>
      <c r="L58" s="31"/>
      <c r="M58" s="31"/>
      <c r="N58" s="536"/>
    </row>
    <row r="59" spans="1:14" s="370" customFormat="1">
      <c r="A59" s="565" t="s">
        <v>262</v>
      </c>
      <c r="B59" s="556"/>
      <c r="C59" s="719"/>
      <c r="D59" s="556"/>
      <c r="E59" s="556"/>
      <c r="F59" s="556"/>
      <c r="G59" s="551"/>
      <c r="H59" s="31"/>
      <c r="I59" s="31"/>
      <c r="J59" s="31"/>
      <c r="K59" s="31"/>
      <c r="L59" s="31"/>
      <c r="M59" s="31"/>
      <c r="N59" s="536"/>
    </row>
    <row r="60" spans="1:14" s="370" customFormat="1" ht="72.75" customHeight="1">
      <c r="A60" s="881" t="s">
        <v>497</v>
      </c>
      <c r="B60" s="882"/>
      <c r="C60" s="882"/>
      <c r="D60" s="882"/>
      <c r="E60" s="882"/>
      <c r="F60" s="883"/>
      <c r="G60" s="551"/>
      <c r="H60" s="31"/>
      <c r="I60" s="31"/>
      <c r="J60" s="31"/>
      <c r="K60" s="31"/>
      <c r="L60" s="31"/>
      <c r="M60" s="31"/>
      <c r="N60" s="536"/>
    </row>
    <row r="61" spans="1:14" s="370" customFormat="1">
      <c r="A61" s="562"/>
      <c r="B61" s="556"/>
      <c r="C61" s="719"/>
      <c r="D61" s="556"/>
      <c r="E61" s="556"/>
      <c r="F61" s="556"/>
      <c r="G61" s="551"/>
      <c r="H61" s="31"/>
      <c r="I61" s="31"/>
      <c r="J61" s="31"/>
      <c r="K61" s="31"/>
      <c r="L61" s="31"/>
      <c r="M61" s="31"/>
      <c r="N61" s="536"/>
    </row>
    <row r="62" spans="1:14" s="370" customFormat="1">
      <c r="A62" s="879" t="s">
        <v>1020</v>
      </c>
      <c r="B62" s="880"/>
      <c r="C62" s="880"/>
      <c r="D62" s="880"/>
      <c r="E62" s="880"/>
      <c r="F62" s="880"/>
      <c r="G62" s="551"/>
      <c r="H62" s="31"/>
      <c r="I62" s="31"/>
      <c r="J62" s="31"/>
      <c r="K62" s="31"/>
      <c r="L62" s="31"/>
      <c r="M62" s="31"/>
      <c r="N62" s="536"/>
    </row>
    <row r="63" spans="1:14" s="370" customFormat="1">
      <c r="A63" s="906" t="s">
        <v>1021</v>
      </c>
      <c r="B63" s="907"/>
      <c r="C63" s="907"/>
      <c r="D63" s="907"/>
      <c r="E63" s="907"/>
      <c r="F63" s="907"/>
      <c r="G63" s="551"/>
      <c r="H63" s="31"/>
      <c r="I63" s="31"/>
      <c r="J63" s="31"/>
      <c r="K63" s="31"/>
      <c r="L63" s="31"/>
      <c r="M63" s="31"/>
      <c r="N63" s="536"/>
    </row>
    <row r="64" spans="1:14" s="370" customFormat="1" ht="47.4" customHeight="1">
      <c r="A64" s="881" t="s">
        <v>1170</v>
      </c>
      <c r="B64" s="882"/>
      <c r="C64" s="882"/>
      <c r="D64" s="882"/>
      <c r="E64" s="882"/>
      <c r="F64" s="883"/>
      <c r="G64" s="551"/>
      <c r="H64" s="31"/>
      <c r="I64" s="31"/>
      <c r="J64" s="31"/>
      <c r="K64" s="31"/>
      <c r="L64" s="31"/>
      <c r="M64" s="31"/>
      <c r="N64" s="536"/>
    </row>
    <row r="65" spans="1:14" s="370" customFormat="1">
      <c r="A65" s="565"/>
      <c r="B65" s="556"/>
      <c r="C65" s="719"/>
      <c r="D65" s="556"/>
      <c r="E65" s="556"/>
      <c r="F65" s="556"/>
      <c r="G65" s="551"/>
      <c r="H65" s="31"/>
      <c r="I65" s="31"/>
      <c r="J65" s="31"/>
      <c r="K65" s="31"/>
      <c r="L65" s="31"/>
      <c r="M65" s="31"/>
      <c r="N65" s="536"/>
    </row>
    <row r="66" spans="1:14" s="370" customFormat="1">
      <c r="A66" s="879" t="s">
        <v>264</v>
      </c>
      <c r="B66" s="880"/>
      <c r="C66" s="880"/>
      <c r="D66" s="880"/>
      <c r="E66" s="880"/>
      <c r="F66" s="556"/>
      <c r="G66" s="551"/>
      <c r="H66" s="31"/>
      <c r="I66" s="31"/>
      <c r="J66" s="31"/>
      <c r="K66" s="31"/>
      <c r="L66" s="31"/>
      <c r="M66" s="31"/>
      <c r="N66" s="536"/>
    </row>
    <row r="67" spans="1:14" s="370" customFormat="1" ht="24" customHeight="1">
      <c r="A67" s="884" t="s">
        <v>498</v>
      </c>
      <c r="B67" s="885"/>
      <c r="C67" s="885"/>
      <c r="D67" s="885"/>
      <c r="E67" s="885"/>
      <c r="F67" s="886"/>
      <c r="G67" s="551"/>
      <c r="H67" s="31"/>
      <c r="I67" s="31"/>
      <c r="J67" s="31"/>
      <c r="K67" s="31"/>
      <c r="L67" s="31"/>
      <c r="M67" s="31"/>
      <c r="N67" s="536"/>
    </row>
    <row r="68" spans="1:14" s="370" customFormat="1">
      <c r="A68" s="562"/>
      <c r="B68" s="556"/>
      <c r="C68" s="719"/>
      <c r="D68" s="556"/>
      <c r="E68" s="556"/>
      <c r="F68" s="556"/>
      <c r="G68" s="551"/>
      <c r="H68" s="31"/>
      <c r="I68" s="31"/>
      <c r="J68" s="31"/>
      <c r="K68" s="31"/>
      <c r="L68" s="31"/>
      <c r="M68" s="31"/>
      <c r="N68" s="536"/>
    </row>
    <row r="69" spans="1:14" s="370" customFormat="1">
      <c r="A69" s="565" t="s">
        <v>265</v>
      </c>
      <c r="B69" s="556"/>
      <c r="C69" s="719"/>
      <c r="D69" s="556"/>
      <c r="E69" s="556"/>
      <c r="F69" s="556"/>
      <c r="G69" s="551"/>
      <c r="H69" s="31"/>
      <c r="I69" s="31"/>
      <c r="J69" s="31"/>
      <c r="K69" s="31"/>
      <c r="L69" s="31"/>
      <c r="M69" s="31"/>
      <c r="N69" s="536"/>
    </row>
    <row r="70" spans="1:14" s="370" customFormat="1">
      <c r="A70" s="566" t="s">
        <v>266</v>
      </c>
      <c r="B70" s="556"/>
      <c r="C70" s="719"/>
      <c r="D70" s="556"/>
      <c r="E70" s="556"/>
      <c r="F70" s="556"/>
      <c r="G70" s="551"/>
      <c r="H70" s="31"/>
      <c r="I70" s="31"/>
      <c r="J70" s="31"/>
      <c r="K70" s="31"/>
      <c r="L70" s="31"/>
      <c r="M70" s="31"/>
      <c r="N70" s="536"/>
    </row>
    <row r="71" spans="1:14" s="370" customFormat="1" ht="26.25" customHeight="1">
      <c r="A71" s="892" t="s">
        <v>1030</v>
      </c>
      <c r="B71" s="893"/>
      <c r="C71" s="893"/>
      <c r="D71" s="893"/>
      <c r="E71" s="893"/>
      <c r="F71" s="893"/>
      <c r="G71" s="551"/>
      <c r="H71" s="31"/>
      <c r="I71" s="31"/>
      <c r="J71" s="31"/>
      <c r="K71" s="31"/>
      <c r="L71" s="31"/>
      <c r="M71" s="31"/>
      <c r="N71" s="536"/>
    </row>
    <row r="72" spans="1:14" s="370" customFormat="1" ht="42.5" customHeight="1">
      <c r="A72" s="881" t="s">
        <v>500</v>
      </c>
      <c r="B72" s="882"/>
      <c r="C72" s="882"/>
      <c r="D72" s="882"/>
      <c r="E72" s="882"/>
      <c r="F72" s="883"/>
      <c r="G72" s="551"/>
      <c r="H72" s="31"/>
      <c r="I72" s="31"/>
      <c r="J72" s="31"/>
      <c r="K72" s="31"/>
      <c r="L72" s="31"/>
      <c r="M72" s="31"/>
      <c r="N72" s="536"/>
    </row>
    <row r="73" spans="1:14" s="370" customFormat="1">
      <c r="A73" s="894"/>
      <c r="B73" s="895"/>
      <c r="C73" s="895"/>
      <c r="D73" s="895"/>
      <c r="E73" s="895"/>
      <c r="F73" s="895"/>
      <c r="G73" s="551"/>
      <c r="H73" s="31"/>
      <c r="I73" s="31"/>
      <c r="J73" s="31"/>
      <c r="K73" s="31"/>
      <c r="L73" s="31"/>
      <c r="M73" s="31"/>
      <c r="N73" s="536"/>
    </row>
    <row r="74" spans="1:14" s="370" customFormat="1">
      <c r="A74" s="566" t="s">
        <v>268</v>
      </c>
      <c r="B74" s="556"/>
      <c r="C74" s="719"/>
      <c r="D74" s="556"/>
      <c r="E74" s="556"/>
      <c r="F74" s="556"/>
      <c r="G74" s="551"/>
      <c r="H74" s="31"/>
      <c r="I74" s="31"/>
      <c r="J74" s="31"/>
      <c r="K74" s="31"/>
      <c r="L74" s="31"/>
      <c r="M74" s="31"/>
      <c r="N74" s="536"/>
    </row>
    <row r="75" spans="1:14" s="370" customFormat="1" ht="28.65" customHeight="1">
      <c r="A75" s="896" t="s">
        <v>269</v>
      </c>
      <c r="B75" s="897"/>
      <c r="C75" s="897"/>
      <c r="D75" s="897"/>
      <c r="E75" s="897"/>
      <c r="F75" s="897"/>
      <c r="G75" s="551"/>
      <c r="H75" s="31"/>
      <c r="I75" s="31"/>
      <c r="J75" s="31"/>
      <c r="K75" s="31"/>
      <c r="L75" s="31"/>
      <c r="M75" s="31"/>
      <c r="N75" s="536"/>
    </row>
    <row r="76" spans="1:14" s="370" customFormat="1" ht="30.75" customHeight="1">
      <c r="A76" s="881" t="s">
        <v>452</v>
      </c>
      <c r="B76" s="882"/>
      <c r="C76" s="882"/>
      <c r="D76" s="882"/>
      <c r="E76" s="882"/>
      <c r="F76" s="883"/>
      <c r="G76" s="551"/>
      <c r="H76" s="31"/>
      <c r="I76" s="31"/>
      <c r="J76" s="31"/>
      <c r="K76" s="31"/>
      <c r="L76" s="31"/>
      <c r="M76" s="31"/>
      <c r="N76" s="536"/>
    </row>
    <row r="77" spans="1:14" s="370" customFormat="1" ht="15" thickBot="1">
      <c r="A77" s="567"/>
      <c r="B77" s="568"/>
      <c r="C77" s="569"/>
      <c r="D77" s="568"/>
      <c r="E77" s="568"/>
      <c r="F77" s="568"/>
      <c r="G77" s="570"/>
      <c r="H77" s="31"/>
      <c r="I77" s="31"/>
      <c r="J77" s="31"/>
      <c r="K77" s="31"/>
      <c r="L77" s="31"/>
      <c r="M77" s="31"/>
      <c r="N77" s="536"/>
    </row>
    <row r="78" spans="1:14" s="370" customFormat="1">
      <c r="A78" s="31"/>
      <c r="B78" s="31"/>
      <c r="C78" s="32"/>
      <c r="D78" s="31"/>
      <c r="E78" s="31"/>
      <c r="F78" s="31"/>
      <c r="G78" s="31"/>
      <c r="H78" s="31"/>
      <c r="I78" s="31"/>
      <c r="J78" s="31"/>
      <c r="K78" s="31"/>
      <c r="L78" s="31"/>
      <c r="M78" s="31"/>
      <c r="N78" s="536"/>
    </row>
    <row r="79" spans="1:14" s="370" customFormat="1">
      <c r="C79" s="720"/>
    </row>
    <row r="80" spans="1:14" s="370" customFormat="1">
      <c r="C80" s="720"/>
    </row>
    <row r="81" spans="3:3" s="370" customFormat="1">
      <c r="C81" s="720"/>
    </row>
    <row r="82" spans="3:3" s="370" customFormat="1">
      <c r="C82" s="720"/>
    </row>
    <row r="83" spans="3:3" s="370" customFormat="1">
      <c r="C83" s="720"/>
    </row>
    <row r="84" spans="3:3" s="370" customFormat="1">
      <c r="C84" s="720"/>
    </row>
    <row r="85" spans="3:3" s="370" customFormat="1">
      <c r="C85" s="720"/>
    </row>
    <row r="86" spans="3:3" s="370" customFormat="1">
      <c r="C86" s="720"/>
    </row>
    <row r="87" spans="3:3" s="370" customFormat="1">
      <c r="C87" s="720"/>
    </row>
    <row r="88" spans="3:3" s="370" customFormat="1">
      <c r="C88" s="661"/>
    </row>
    <row r="89" spans="3:3" s="370" customFormat="1">
      <c r="C89" s="661"/>
    </row>
    <row r="90" spans="3:3" s="370" customFormat="1">
      <c r="C90" s="661"/>
    </row>
    <row r="91" spans="3:3" s="370" customFormat="1">
      <c r="C91" s="661"/>
    </row>
    <row r="92" spans="3:3" s="370" customFormat="1">
      <c r="C92" s="661"/>
    </row>
    <row r="93" spans="3:3" s="370" customFormat="1">
      <c r="C93" s="661"/>
    </row>
    <row r="94" spans="3:3" s="370" customFormat="1">
      <c r="C94" s="661"/>
    </row>
    <row r="95" spans="3:3" s="370" customFormat="1">
      <c r="C95" s="661"/>
    </row>
    <row r="96" spans="3:3" s="370" customFormat="1">
      <c r="C96" s="661"/>
    </row>
    <row r="97" spans="3:3" s="370" customFormat="1">
      <c r="C97" s="661"/>
    </row>
    <row r="98" spans="3:3" s="370" customFormat="1">
      <c r="C98" s="661"/>
    </row>
    <row r="99" spans="3:3" s="370" customFormat="1">
      <c r="C99" s="661"/>
    </row>
    <row r="100" spans="3:3" s="370" customFormat="1">
      <c r="C100" s="661"/>
    </row>
    <row r="101" spans="3:3" s="370" customFormat="1">
      <c r="C101" s="661"/>
    </row>
    <row r="102" spans="3:3" s="370" customFormat="1">
      <c r="C102" s="661"/>
    </row>
    <row r="103" spans="3:3" s="370" customFormat="1">
      <c r="C103" s="661"/>
    </row>
    <row r="104" spans="3:3" s="370" customFormat="1">
      <c r="C104" s="661"/>
    </row>
    <row r="105" spans="3:3" s="370" customFormat="1">
      <c r="C105" s="661"/>
    </row>
    <row r="106" spans="3:3" s="370" customFormat="1">
      <c r="C106" s="661"/>
    </row>
    <row r="107" spans="3:3" s="370" customFormat="1">
      <c r="C107" s="661"/>
    </row>
    <row r="108" spans="3:3" s="370" customFormat="1">
      <c r="C108" s="661"/>
    </row>
    <row r="109" spans="3:3" s="370" customFormat="1">
      <c r="C109" s="661"/>
    </row>
    <row r="110" spans="3:3" s="370" customFormat="1">
      <c r="C110" s="661"/>
    </row>
    <row r="111" spans="3:3" s="370" customFormat="1">
      <c r="C111" s="661"/>
    </row>
    <row r="112" spans="3:3" s="370" customFormat="1">
      <c r="C112" s="661"/>
    </row>
    <row r="113" spans="3:3" s="370" customFormat="1">
      <c r="C113" s="661"/>
    </row>
    <row r="114" spans="3:3" s="370" customFormat="1">
      <c r="C114" s="661"/>
    </row>
    <row r="115" spans="3:3" s="370" customFormat="1">
      <c r="C115" s="661"/>
    </row>
    <row r="116" spans="3:3" s="370" customFormat="1">
      <c r="C116" s="661"/>
    </row>
    <row r="117" spans="3:3" s="370" customFormat="1">
      <c r="C117" s="661"/>
    </row>
    <row r="118" spans="3:3" s="370" customFormat="1">
      <c r="C118" s="661"/>
    </row>
    <row r="119" spans="3:3" s="370" customFormat="1">
      <c r="C119" s="661"/>
    </row>
    <row r="120" spans="3:3" s="370" customFormat="1">
      <c r="C120" s="661"/>
    </row>
    <row r="121" spans="3:3" s="370" customFormat="1">
      <c r="C121" s="661"/>
    </row>
    <row r="122" spans="3:3" s="370" customFormat="1">
      <c r="C122" s="661"/>
    </row>
    <row r="123" spans="3:3" s="370" customFormat="1">
      <c r="C123" s="661"/>
    </row>
    <row r="124" spans="3:3" s="370" customFormat="1">
      <c r="C124" s="661"/>
    </row>
    <row r="125" spans="3:3" s="370" customFormat="1">
      <c r="C125" s="661"/>
    </row>
    <row r="126" spans="3:3" s="370" customFormat="1">
      <c r="C126" s="661"/>
    </row>
    <row r="127" spans="3:3" s="370" customFormat="1">
      <c r="C127" s="661"/>
    </row>
    <row r="128" spans="3:3" s="370" customFormat="1">
      <c r="C128" s="661"/>
    </row>
    <row r="129" spans="3:3" s="370" customFormat="1">
      <c r="C129" s="661"/>
    </row>
    <row r="130" spans="3:3" s="370" customFormat="1">
      <c r="C130" s="661"/>
    </row>
    <row r="131" spans="3:3" s="370" customFormat="1">
      <c r="C131" s="661"/>
    </row>
    <row r="132" spans="3:3" s="370" customFormat="1">
      <c r="C132" s="661"/>
    </row>
    <row r="133" spans="3:3" s="370" customFormat="1">
      <c r="C133" s="661"/>
    </row>
    <row r="134" spans="3:3" s="370" customFormat="1">
      <c r="C134" s="661"/>
    </row>
    <row r="135" spans="3:3" s="370" customFormat="1">
      <c r="C135" s="661"/>
    </row>
    <row r="136" spans="3:3" s="370" customFormat="1">
      <c r="C136" s="661"/>
    </row>
    <row r="137" spans="3:3" s="370" customFormat="1">
      <c r="C137" s="661"/>
    </row>
    <row r="138" spans="3:3" s="370" customFormat="1">
      <c r="C138" s="661"/>
    </row>
    <row r="139" spans="3:3" s="370" customFormat="1">
      <c r="C139" s="661"/>
    </row>
    <row r="140" spans="3:3" s="370" customFormat="1">
      <c r="C140" s="661"/>
    </row>
    <row r="141" spans="3:3" s="370" customFormat="1">
      <c r="C141" s="661"/>
    </row>
    <row r="142" spans="3:3" s="370" customFormat="1">
      <c r="C142" s="661"/>
    </row>
    <row r="143" spans="3:3" s="370" customFormat="1">
      <c r="C143" s="661"/>
    </row>
    <row r="144" spans="3:3" s="370" customFormat="1">
      <c r="C144" s="661"/>
    </row>
    <row r="145" spans="3:3" s="370" customFormat="1">
      <c r="C145" s="661"/>
    </row>
    <row r="146" spans="3:3" s="370" customFormat="1">
      <c r="C146" s="661"/>
    </row>
    <row r="147" spans="3:3" s="370" customFormat="1">
      <c r="C147" s="661"/>
    </row>
    <row r="148" spans="3:3" s="370" customFormat="1">
      <c r="C148" s="661"/>
    </row>
    <row r="149" spans="3:3" s="370" customFormat="1">
      <c r="C149" s="661"/>
    </row>
    <row r="150" spans="3:3" s="370" customFormat="1">
      <c r="C150" s="661"/>
    </row>
    <row r="151" spans="3:3" s="370" customFormat="1">
      <c r="C151" s="661"/>
    </row>
    <row r="152" spans="3:3" s="370" customFormat="1">
      <c r="C152" s="661"/>
    </row>
    <row r="153" spans="3:3" s="370" customFormat="1">
      <c r="C153" s="661"/>
    </row>
  </sheetData>
  <mergeCells count="21">
    <mergeCell ref="A76:F76"/>
    <mergeCell ref="A67:F67"/>
    <mergeCell ref="A71:F71"/>
    <mergeCell ref="A72:F72"/>
    <mergeCell ref="A73:F73"/>
    <mergeCell ref="A75:F75"/>
    <mergeCell ref="A60:F60"/>
    <mergeCell ref="A62:F62"/>
    <mergeCell ref="A63:F63"/>
    <mergeCell ref="A64:F64"/>
    <mergeCell ref="A66:E66"/>
    <mergeCell ref="A48:F48"/>
    <mergeCell ref="A49:F49"/>
    <mergeCell ref="A50:B50"/>
    <mergeCell ref="A56:F56"/>
    <mergeCell ref="A57:F57"/>
    <mergeCell ref="A44:D44"/>
    <mergeCell ref="A1:N1"/>
    <mergeCell ref="A41:E41"/>
    <mergeCell ref="A42:D42"/>
    <mergeCell ref="A43:D43"/>
  </mergeCells>
  <printOptions horizontalCentered="1"/>
  <pageMargins left="0.2" right="0.2" top="0.75" bottom="0.75" header="0.3" footer="0.3"/>
  <pageSetup scale="70" fitToHeight="0" orientation="landscape" r:id="rId1"/>
  <headerFooter>
    <oddHeader xml:space="preserve">&amp;CDRAFT NOT FOR DISTRIBUTION, INTERNAL USE ONLY
</oddHead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39997558519241921"/>
  </sheetPr>
  <dimension ref="A1:P104"/>
  <sheetViews>
    <sheetView zoomScaleNormal="100" workbookViewId="0">
      <selection sqref="A1:N1"/>
    </sheetView>
  </sheetViews>
  <sheetFormatPr defaultColWidth="8.81640625" defaultRowHeight="14.5"/>
  <cols>
    <col min="1" max="1" width="39.54296875" style="370" customWidth="1"/>
    <col min="2" max="2" width="16" style="370" customWidth="1"/>
    <col min="3" max="3" width="7.7265625" style="498" customWidth="1"/>
    <col min="4" max="4" width="20" style="370" customWidth="1"/>
    <col min="5" max="5" width="10.7265625" style="370" customWidth="1"/>
    <col min="6" max="6" width="11" style="370" customWidth="1"/>
    <col min="7" max="7" width="9.54296875" style="370" customWidth="1"/>
    <col min="8" max="8" width="10" style="370" customWidth="1"/>
    <col min="9" max="10" width="7.1796875" style="370" customWidth="1"/>
    <col min="11" max="11" width="7.7265625" style="370" customWidth="1"/>
    <col min="12" max="12" width="9.7265625" style="370" customWidth="1"/>
    <col min="13" max="13" width="10.54296875" style="370" bestFit="1" customWidth="1"/>
    <col min="14" max="14" width="38.7265625" style="370" bestFit="1" customWidth="1"/>
    <col min="15" max="16384" width="8.81640625" style="370"/>
  </cols>
  <sheetData>
    <row r="1" spans="1:16" ht="15.5">
      <c r="A1" s="854" t="s">
        <v>412</v>
      </c>
      <c r="B1" s="854"/>
      <c r="C1" s="854"/>
      <c r="D1" s="854"/>
      <c r="E1" s="854"/>
      <c r="F1" s="854"/>
      <c r="G1" s="854"/>
      <c r="H1" s="854"/>
      <c r="I1" s="854"/>
      <c r="J1" s="854"/>
      <c r="K1" s="854"/>
      <c r="L1" s="854"/>
      <c r="M1" s="854"/>
      <c r="N1" s="854"/>
    </row>
    <row r="2" spans="1:16">
      <c r="A2" s="702" t="s">
        <v>501</v>
      </c>
      <c r="C2" s="639"/>
    </row>
    <row r="3" spans="1:16">
      <c r="A3" s="506" t="s">
        <v>1243</v>
      </c>
      <c r="C3" s="639"/>
      <c r="F3" s="451" t="s">
        <v>210</v>
      </c>
      <c r="G3" s="29"/>
      <c r="H3" s="29"/>
    </row>
    <row r="4" spans="1:16">
      <c r="A4" s="506" t="s">
        <v>502</v>
      </c>
      <c r="C4" s="639"/>
    </row>
    <row r="5" spans="1:16">
      <c r="A5" s="31"/>
      <c r="B5" s="31"/>
      <c r="C5" s="32"/>
      <c r="D5" s="31"/>
      <c r="E5" s="31"/>
    </row>
    <row r="6" spans="1:16" ht="29">
      <c r="A6" s="33"/>
      <c r="B6" s="33" t="s">
        <v>212</v>
      </c>
      <c r="C6" s="1" t="s">
        <v>213</v>
      </c>
      <c r="D6" s="2" t="s">
        <v>273</v>
      </c>
      <c r="E6" s="34" t="s">
        <v>734</v>
      </c>
      <c r="F6" s="35" t="s">
        <v>1008</v>
      </c>
      <c r="G6" s="35" t="s">
        <v>0</v>
      </c>
      <c r="H6" s="35" t="s">
        <v>1</v>
      </c>
      <c r="I6" s="35" t="s">
        <v>2</v>
      </c>
      <c r="J6" s="35" t="s">
        <v>3</v>
      </c>
      <c r="K6" s="35" t="s">
        <v>4</v>
      </c>
      <c r="L6" s="35" t="s">
        <v>26</v>
      </c>
      <c r="M6" s="2" t="s">
        <v>214</v>
      </c>
      <c r="N6" s="35" t="s">
        <v>215</v>
      </c>
    </row>
    <row r="7" spans="1:16">
      <c r="A7" s="67" t="s">
        <v>216</v>
      </c>
      <c r="B7" s="68"/>
      <c r="C7" s="69"/>
      <c r="D7" s="68"/>
      <c r="E7" s="68"/>
      <c r="F7" s="70"/>
      <c r="G7" s="70"/>
      <c r="H7" s="70"/>
      <c r="I7" s="70"/>
      <c r="J7" s="70"/>
      <c r="K7" s="70"/>
      <c r="L7" s="70"/>
      <c r="M7" s="70"/>
      <c r="N7" s="70"/>
    </row>
    <row r="8" spans="1:16" ht="15" customHeight="1">
      <c r="A8" s="36" t="s">
        <v>217</v>
      </c>
      <c r="B8" s="36"/>
      <c r="C8" s="37" t="s">
        <v>218</v>
      </c>
      <c r="D8" s="39"/>
      <c r="E8" s="258">
        <v>0</v>
      </c>
      <c r="F8" s="303">
        <f>SUM(G8:M8)</f>
        <v>0</v>
      </c>
      <c r="G8" s="304">
        <v>0</v>
      </c>
      <c r="H8" s="304">
        <v>0</v>
      </c>
      <c r="I8" s="304">
        <v>0</v>
      </c>
      <c r="J8" s="304">
        <v>0</v>
      </c>
      <c r="K8" s="304">
        <v>0</v>
      </c>
      <c r="L8" s="304">
        <v>0</v>
      </c>
      <c r="M8" s="305">
        <v>0</v>
      </c>
      <c r="N8" s="348"/>
    </row>
    <row r="9" spans="1:16" ht="15" customHeight="1">
      <c r="A9" s="36" t="s">
        <v>217</v>
      </c>
      <c r="B9" s="259"/>
      <c r="C9" s="37" t="s">
        <v>218</v>
      </c>
      <c r="D9" s="39"/>
      <c r="E9" s="258">
        <v>0</v>
      </c>
      <c r="F9" s="303">
        <f>SUM(G9:M9)</f>
        <v>0</v>
      </c>
      <c r="G9" s="304">
        <v>0</v>
      </c>
      <c r="H9" s="304">
        <v>0</v>
      </c>
      <c r="I9" s="304">
        <v>0</v>
      </c>
      <c r="J9" s="304">
        <v>0</v>
      </c>
      <c r="K9" s="304">
        <v>0</v>
      </c>
      <c r="L9" s="304">
        <v>0</v>
      </c>
      <c r="M9" s="305">
        <v>0</v>
      </c>
      <c r="N9" s="348"/>
    </row>
    <row r="10" spans="1:16">
      <c r="A10" s="36" t="s">
        <v>217</v>
      </c>
      <c r="B10" s="259"/>
      <c r="C10" s="37" t="s">
        <v>218</v>
      </c>
      <c r="D10" s="39"/>
      <c r="E10" s="258">
        <v>0</v>
      </c>
      <c r="F10" s="303">
        <f>SUM(G10:M10)</f>
        <v>0</v>
      </c>
      <c r="G10" s="304">
        <v>0</v>
      </c>
      <c r="H10" s="304">
        <v>0</v>
      </c>
      <c r="I10" s="304">
        <v>0</v>
      </c>
      <c r="J10" s="304">
        <v>0</v>
      </c>
      <c r="K10" s="304">
        <v>0</v>
      </c>
      <c r="L10" s="304">
        <v>0</v>
      </c>
      <c r="M10" s="305">
        <v>0</v>
      </c>
      <c r="N10" s="348"/>
    </row>
    <row r="11" spans="1:16">
      <c r="A11" s="36" t="s">
        <v>217</v>
      </c>
      <c r="B11" s="259"/>
      <c r="C11" s="37" t="s">
        <v>218</v>
      </c>
      <c r="D11" s="39"/>
      <c r="E11" s="258">
        <v>0</v>
      </c>
      <c r="F11" s="303">
        <f>SUM(G11:M11)</f>
        <v>0</v>
      </c>
      <c r="G11" s="304">
        <v>0</v>
      </c>
      <c r="H11" s="304">
        <v>0</v>
      </c>
      <c r="I11" s="304">
        <v>0</v>
      </c>
      <c r="J11" s="304">
        <v>0</v>
      </c>
      <c r="K11" s="304">
        <v>0</v>
      </c>
      <c r="L11" s="304">
        <v>0</v>
      </c>
      <c r="M11" s="305">
        <v>0</v>
      </c>
      <c r="N11" s="348"/>
    </row>
    <row r="12" spans="1:16">
      <c r="A12" s="36" t="s">
        <v>217</v>
      </c>
      <c r="B12" s="260"/>
      <c r="C12" s="37" t="s">
        <v>218</v>
      </c>
      <c r="D12" s="39"/>
      <c r="E12" s="258">
        <v>0</v>
      </c>
      <c r="F12" s="303">
        <f>SUM(G12:M12)</f>
        <v>0</v>
      </c>
      <c r="G12" s="304">
        <v>0</v>
      </c>
      <c r="H12" s="304">
        <v>0</v>
      </c>
      <c r="I12" s="304">
        <v>0</v>
      </c>
      <c r="J12" s="304">
        <v>0</v>
      </c>
      <c r="K12" s="304">
        <v>0</v>
      </c>
      <c r="L12" s="304">
        <v>0</v>
      </c>
      <c r="M12" s="305">
        <v>0</v>
      </c>
      <c r="N12" s="348"/>
    </row>
    <row r="13" spans="1:16">
      <c r="A13" s="40" t="s">
        <v>219</v>
      </c>
      <c r="B13" s="260"/>
      <c r="C13" s="261"/>
      <c r="D13" s="41">
        <f t="shared" ref="D13:M13" si="0">SUM(D8:D12)</f>
        <v>0</v>
      </c>
      <c r="E13" s="42">
        <f t="shared" si="0"/>
        <v>0</v>
      </c>
      <c r="F13" s="43">
        <f t="shared" si="0"/>
        <v>0</v>
      </c>
      <c r="G13" s="43">
        <f t="shared" si="0"/>
        <v>0</v>
      </c>
      <c r="H13" s="43">
        <f t="shared" si="0"/>
        <v>0</v>
      </c>
      <c r="I13" s="43">
        <f t="shared" si="0"/>
        <v>0</v>
      </c>
      <c r="J13" s="43">
        <f t="shared" si="0"/>
        <v>0</v>
      </c>
      <c r="K13" s="43">
        <f t="shared" si="0"/>
        <v>0</v>
      </c>
      <c r="L13" s="43">
        <f t="shared" si="0"/>
        <v>0</v>
      </c>
      <c r="M13" s="43">
        <f t="shared" si="0"/>
        <v>0</v>
      </c>
      <c r="N13" s="348"/>
    </row>
    <row r="14" spans="1:16">
      <c r="A14" s="67" t="s">
        <v>220</v>
      </c>
      <c r="B14" s="68"/>
      <c r="C14" s="69"/>
      <c r="D14" s="68"/>
      <c r="E14" s="68"/>
      <c r="F14" s="70"/>
      <c r="G14" s="70"/>
      <c r="H14" s="70"/>
      <c r="I14" s="70"/>
      <c r="J14" s="70"/>
      <c r="K14" s="70"/>
      <c r="L14" s="70"/>
      <c r="M14" s="70"/>
      <c r="N14" s="70"/>
    </row>
    <row r="15" spans="1:16" ht="101.5">
      <c r="A15" s="259" t="s">
        <v>503</v>
      </c>
      <c r="B15" s="259" t="s">
        <v>504</v>
      </c>
      <c r="C15" s="44">
        <v>253</v>
      </c>
      <c r="D15" s="45"/>
      <c r="E15" s="258">
        <v>821</v>
      </c>
      <c r="F15" s="350">
        <f t="shared" ref="F15:F21" si="1">SUM(G15:M15)</f>
        <v>808</v>
      </c>
      <c r="G15" s="304">
        <f>15-4</f>
        <v>11</v>
      </c>
      <c r="H15" s="304">
        <f>134-34</f>
        <v>100</v>
      </c>
      <c r="I15" s="304">
        <f>27-7</f>
        <v>20</v>
      </c>
      <c r="J15" s="304">
        <f>48-12</f>
        <v>36</v>
      </c>
      <c r="K15" s="304">
        <v>0</v>
      </c>
      <c r="L15" s="304">
        <v>0</v>
      </c>
      <c r="M15" s="305">
        <f>858-217</f>
        <v>641</v>
      </c>
      <c r="N15" s="699" t="s">
        <v>1244</v>
      </c>
      <c r="O15" s="370">
        <f>182+58</f>
        <v>240</v>
      </c>
      <c r="P15" s="370">
        <f>4500+2500</f>
        <v>7000</v>
      </c>
    </row>
    <row r="16" spans="1:16" ht="116">
      <c r="A16" s="537" t="s">
        <v>503</v>
      </c>
      <c r="B16" s="259" t="s">
        <v>504</v>
      </c>
      <c r="C16" s="44">
        <v>253</v>
      </c>
      <c r="D16" s="45"/>
      <c r="E16" s="258">
        <v>261</v>
      </c>
      <c r="F16" s="350">
        <f t="shared" si="1"/>
        <v>261</v>
      </c>
      <c r="G16" s="304">
        <v>4</v>
      </c>
      <c r="H16" s="304">
        <v>32</v>
      </c>
      <c r="I16" s="304">
        <v>6</v>
      </c>
      <c r="J16" s="304">
        <v>12</v>
      </c>
      <c r="K16" s="304">
        <v>0</v>
      </c>
      <c r="L16" s="304">
        <v>0</v>
      </c>
      <c r="M16" s="305">
        <v>207</v>
      </c>
      <c r="N16" s="646" t="s">
        <v>718</v>
      </c>
    </row>
    <row r="17" spans="1:14" ht="29">
      <c r="A17" s="537" t="s">
        <v>503</v>
      </c>
      <c r="B17" s="259" t="s">
        <v>504</v>
      </c>
      <c r="C17" s="44">
        <v>253</v>
      </c>
      <c r="D17" s="45"/>
      <c r="E17" s="258">
        <v>0</v>
      </c>
      <c r="F17" s="350">
        <f t="shared" si="1"/>
        <v>5</v>
      </c>
      <c r="G17" s="304">
        <v>0</v>
      </c>
      <c r="H17" s="304">
        <v>0</v>
      </c>
      <c r="I17" s="304">
        <v>0</v>
      </c>
      <c r="J17" s="304">
        <v>0</v>
      </c>
      <c r="K17" s="304">
        <v>0</v>
      </c>
      <c r="L17" s="304">
        <v>0</v>
      </c>
      <c r="M17" s="305">
        <v>5</v>
      </c>
      <c r="N17" s="802" t="s">
        <v>1245</v>
      </c>
    </row>
    <row r="18" spans="1:14" ht="58">
      <c r="A18" s="619" t="s">
        <v>503</v>
      </c>
      <c r="B18" s="530" t="s">
        <v>504</v>
      </c>
      <c r="C18" s="597">
        <v>253</v>
      </c>
      <c r="D18" s="45"/>
      <c r="E18" s="258">
        <v>30</v>
      </c>
      <c r="F18" s="350">
        <f t="shared" si="1"/>
        <v>23</v>
      </c>
      <c r="G18" s="304">
        <v>1</v>
      </c>
      <c r="H18" s="304">
        <v>3</v>
      </c>
      <c r="I18" s="304">
        <v>1</v>
      </c>
      <c r="J18" s="304">
        <v>2</v>
      </c>
      <c r="K18" s="304">
        <v>0</v>
      </c>
      <c r="L18" s="304">
        <v>0</v>
      </c>
      <c r="M18" s="305">
        <v>16</v>
      </c>
      <c r="N18" s="700" t="s">
        <v>1246</v>
      </c>
    </row>
    <row r="19" spans="1:14" ht="58">
      <c r="A19" s="537" t="s">
        <v>503</v>
      </c>
      <c r="B19" s="259" t="s">
        <v>504</v>
      </c>
      <c r="C19" s="44">
        <v>253</v>
      </c>
      <c r="D19" s="262"/>
      <c r="E19" s="258">
        <v>30</v>
      </c>
      <c r="F19" s="350">
        <f t="shared" si="1"/>
        <v>0</v>
      </c>
      <c r="G19" s="304">
        <v>0</v>
      </c>
      <c r="H19" s="304">
        <v>0</v>
      </c>
      <c r="I19" s="304">
        <v>0</v>
      </c>
      <c r="J19" s="304">
        <v>0</v>
      </c>
      <c r="K19" s="304">
        <v>0</v>
      </c>
      <c r="L19" s="304">
        <v>0</v>
      </c>
      <c r="M19" s="305">
        <v>0</v>
      </c>
      <c r="N19" s="318" t="s">
        <v>505</v>
      </c>
    </row>
    <row r="20" spans="1:14" ht="29">
      <c r="A20" s="537" t="s">
        <v>503</v>
      </c>
      <c r="B20" s="259" t="s">
        <v>504</v>
      </c>
      <c r="C20" s="44">
        <v>253</v>
      </c>
      <c r="D20" s="262"/>
      <c r="E20" s="258">
        <v>0</v>
      </c>
      <c r="F20" s="350">
        <f t="shared" si="1"/>
        <v>2</v>
      </c>
      <c r="G20" s="304">
        <v>0</v>
      </c>
      <c r="H20" s="304"/>
      <c r="I20" s="304"/>
      <c r="J20" s="304"/>
      <c r="K20" s="304">
        <v>0</v>
      </c>
      <c r="L20" s="304">
        <v>0</v>
      </c>
      <c r="M20" s="305">
        <v>2</v>
      </c>
      <c r="N20" s="318" t="s">
        <v>1247</v>
      </c>
    </row>
    <row r="21" spans="1:14" ht="43.5">
      <c r="A21" s="619" t="s">
        <v>503</v>
      </c>
      <c r="B21" s="530" t="s">
        <v>504</v>
      </c>
      <c r="C21" s="597">
        <v>253</v>
      </c>
      <c r="D21" s="262"/>
      <c r="E21" s="258">
        <v>2</v>
      </c>
      <c r="F21" s="350">
        <f t="shared" si="1"/>
        <v>10</v>
      </c>
      <c r="G21" s="304">
        <v>0</v>
      </c>
      <c r="H21" s="304">
        <v>3</v>
      </c>
      <c r="I21" s="304">
        <v>1</v>
      </c>
      <c r="J21" s="304">
        <v>2</v>
      </c>
      <c r="K21" s="304">
        <v>0</v>
      </c>
      <c r="L21" s="304">
        <v>0</v>
      </c>
      <c r="M21" s="305">
        <v>4</v>
      </c>
      <c r="N21" s="318" t="s">
        <v>506</v>
      </c>
    </row>
    <row r="22" spans="1:14">
      <c r="A22" s="619" t="s">
        <v>503</v>
      </c>
      <c r="B22" s="530" t="s">
        <v>504</v>
      </c>
      <c r="C22" s="597">
        <v>253</v>
      </c>
      <c r="D22" s="262"/>
      <c r="E22" s="258">
        <v>9</v>
      </c>
      <c r="F22" s="350">
        <f t="shared" ref="F22" si="2">SUM(G22:M22)</f>
        <v>0</v>
      </c>
      <c r="G22" s="304">
        <v>0</v>
      </c>
      <c r="H22" s="304">
        <v>0</v>
      </c>
      <c r="I22" s="304">
        <v>0</v>
      </c>
      <c r="J22" s="304">
        <v>0</v>
      </c>
      <c r="K22" s="304">
        <v>0</v>
      </c>
      <c r="L22" s="304">
        <v>0</v>
      </c>
      <c r="M22" s="305">
        <v>0</v>
      </c>
      <c r="N22" s="320" t="s">
        <v>719</v>
      </c>
    </row>
    <row r="23" spans="1:14" ht="29">
      <c r="A23" s="619" t="s">
        <v>503</v>
      </c>
      <c r="B23" s="530" t="s">
        <v>504</v>
      </c>
      <c r="C23" s="597">
        <v>253</v>
      </c>
      <c r="D23" s="262"/>
      <c r="E23" s="258">
        <v>32</v>
      </c>
      <c r="F23" s="350">
        <f t="shared" ref="F23:F25" si="3">SUM(G23:M23)</f>
        <v>64</v>
      </c>
      <c r="G23" s="304">
        <v>4</v>
      </c>
      <c r="H23" s="304">
        <v>10</v>
      </c>
      <c r="I23" s="304">
        <v>4</v>
      </c>
      <c r="J23" s="304">
        <v>4</v>
      </c>
      <c r="K23" s="304">
        <v>0</v>
      </c>
      <c r="L23" s="304">
        <v>0</v>
      </c>
      <c r="M23" s="305">
        <v>42</v>
      </c>
      <c r="N23" s="320" t="s">
        <v>1248</v>
      </c>
    </row>
    <row r="24" spans="1:14">
      <c r="A24" s="619" t="s">
        <v>503</v>
      </c>
      <c r="B24" s="530" t="s">
        <v>504</v>
      </c>
      <c r="C24" s="597">
        <v>253</v>
      </c>
      <c r="D24" s="262"/>
      <c r="E24" s="258">
        <v>0</v>
      </c>
      <c r="F24" s="350">
        <f t="shared" si="3"/>
        <v>38</v>
      </c>
      <c r="G24" s="304">
        <v>3</v>
      </c>
      <c r="H24" s="304">
        <v>6</v>
      </c>
      <c r="I24" s="304">
        <v>3</v>
      </c>
      <c r="J24" s="304">
        <v>3</v>
      </c>
      <c r="K24" s="304">
        <v>0</v>
      </c>
      <c r="L24" s="304">
        <v>0</v>
      </c>
      <c r="M24" s="305">
        <v>23</v>
      </c>
      <c r="N24" s="320" t="s">
        <v>1249</v>
      </c>
    </row>
    <row r="25" spans="1:14" ht="29">
      <c r="A25" s="619" t="s">
        <v>503</v>
      </c>
      <c r="B25" s="530" t="s">
        <v>504</v>
      </c>
      <c r="C25" s="597">
        <v>253</v>
      </c>
      <c r="D25" s="262"/>
      <c r="E25" s="258">
        <v>10</v>
      </c>
      <c r="F25" s="350">
        <f t="shared" si="3"/>
        <v>10</v>
      </c>
      <c r="G25" s="304">
        <v>0</v>
      </c>
      <c r="H25" s="304">
        <v>0</v>
      </c>
      <c r="I25" s="304">
        <v>0</v>
      </c>
      <c r="J25" s="304">
        <v>0</v>
      </c>
      <c r="K25" s="304">
        <v>0</v>
      </c>
      <c r="L25" s="304">
        <v>0</v>
      </c>
      <c r="M25" s="305">
        <v>10</v>
      </c>
      <c r="N25" s="320" t="s">
        <v>717</v>
      </c>
    </row>
    <row r="26" spans="1:14" s="351" customFormat="1" ht="229" customHeight="1">
      <c r="A26" s="530" t="s">
        <v>503</v>
      </c>
      <c r="B26" s="530" t="s">
        <v>504</v>
      </c>
      <c r="C26" s="44">
        <v>253</v>
      </c>
      <c r="D26" s="262"/>
      <c r="E26" s="258">
        <v>765</v>
      </c>
      <c r="F26" s="350">
        <f>SUM(G26:M26)</f>
        <v>731</v>
      </c>
      <c r="G26" s="304">
        <v>0</v>
      </c>
      <c r="H26" s="304">
        <v>0</v>
      </c>
      <c r="I26" s="304">
        <v>0</v>
      </c>
      <c r="J26" s="304">
        <v>0</v>
      </c>
      <c r="K26" s="363">
        <v>731</v>
      </c>
      <c r="L26" s="304">
        <v>0</v>
      </c>
      <c r="M26" s="305">
        <v>0</v>
      </c>
      <c r="N26" s="803" t="s">
        <v>1250</v>
      </c>
    </row>
    <row r="27" spans="1:14">
      <c r="A27" s="40" t="s">
        <v>225</v>
      </c>
      <c r="B27" s="260"/>
      <c r="C27" s="261"/>
      <c r="D27" s="262">
        <f>SUM(D15:D26)</f>
        <v>0</v>
      </c>
      <c r="E27" s="42">
        <f>SUM(E15:E26)-E26</f>
        <v>1195</v>
      </c>
      <c r="F27" s="43">
        <f>SUM(F15:F26)-F26</f>
        <v>1221</v>
      </c>
      <c r="G27" s="43">
        <f t="shared" ref="G27:M27" si="4">SUM(G15:G26)</f>
        <v>23</v>
      </c>
      <c r="H27" s="43">
        <f t="shared" si="4"/>
        <v>154</v>
      </c>
      <c r="I27" s="43">
        <f t="shared" si="4"/>
        <v>35</v>
      </c>
      <c r="J27" s="43">
        <f t="shared" si="4"/>
        <v>59</v>
      </c>
      <c r="K27" s="43">
        <f>SUM(K15:K26)-K26</f>
        <v>0</v>
      </c>
      <c r="L27" s="43">
        <f t="shared" si="4"/>
        <v>0</v>
      </c>
      <c r="M27" s="43">
        <f t="shared" si="4"/>
        <v>950</v>
      </c>
      <c r="N27" s="348"/>
    </row>
    <row r="28" spans="1:14" s="351" customFormat="1">
      <c r="A28" s="125" t="s">
        <v>226</v>
      </c>
      <c r="B28" s="126"/>
      <c r="C28" s="126"/>
      <c r="D28" s="126"/>
      <c r="E28" s="87"/>
      <c r="F28" s="87"/>
      <c r="G28" s="87"/>
      <c r="H28" s="87"/>
      <c r="I28" s="87"/>
      <c r="J28" s="87"/>
      <c r="K28" s="87"/>
      <c r="L28" s="87"/>
      <c r="M28" s="87"/>
      <c r="N28" s="128"/>
    </row>
    <row r="29" spans="1:14" ht="15" customHeight="1">
      <c r="A29" s="259" t="s">
        <v>227</v>
      </c>
      <c r="B29" s="36"/>
      <c r="C29" s="37" t="s">
        <v>228</v>
      </c>
      <c r="D29" s="38">
        <v>0</v>
      </c>
      <c r="E29" s="258"/>
      <c r="F29" s="303">
        <f t="shared" ref="F29:F45" si="5">SUM(G29:M29)</f>
        <v>0</v>
      </c>
      <c r="G29" s="304">
        <v>0</v>
      </c>
      <c r="H29" s="304">
        <v>0</v>
      </c>
      <c r="I29" s="304">
        <v>0</v>
      </c>
      <c r="J29" s="304">
        <v>0</v>
      </c>
      <c r="K29" s="304">
        <v>0</v>
      </c>
      <c r="L29" s="304">
        <v>0</v>
      </c>
      <c r="M29" s="305">
        <v>0</v>
      </c>
      <c r="N29" s="319" t="s">
        <v>507</v>
      </c>
    </row>
    <row r="30" spans="1:14">
      <c r="A30" s="259" t="s">
        <v>229</v>
      </c>
      <c r="B30" s="36"/>
      <c r="C30" s="44" t="s">
        <v>230</v>
      </c>
      <c r="D30" s="45"/>
      <c r="E30" s="258">
        <v>0</v>
      </c>
      <c r="F30" s="303">
        <f t="shared" si="5"/>
        <v>0</v>
      </c>
      <c r="G30" s="304">
        <v>0</v>
      </c>
      <c r="H30" s="304">
        <v>0</v>
      </c>
      <c r="I30" s="304">
        <v>0</v>
      </c>
      <c r="J30" s="304">
        <v>0</v>
      </c>
      <c r="K30" s="304">
        <v>0</v>
      </c>
      <c r="L30" s="304">
        <v>0</v>
      </c>
      <c r="M30" s="305">
        <v>0</v>
      </c>
      <c r="N30" s="348"/>
    </row>
    <row r="31" spans="1:14">
      <c r="A31" s="259" t="s">
        <v>231</v>
      </c>
      <c r="B31" s="36"/>
      <c r="C31" s="44" t="s">
        <v>232</v>
      </c>
      <c r="D31" s="45"/>
      <c r="E31" s="258">
        <v>0</v>
      </c>
      <c r="F31" s="303">
        <f t="shared" si="5"/>
        <v>0</v>
      </c>
      <c r="G31" s="304">
        <v>0</v>
      </c>
      <c r="H31" s="304">
        <v>0</v>
      </c>
      <c r="I31" s="304">
        <v>0</v>
      </c>
      <c r="J31" s="304">
        <v>0</v>
      </c>
      <c r="K31" s="304">
        <v>0</v>
      </c>
      <c r="L31" s="304">
        <v>0</v>
      </c>
      <c r="M31" s="305">
        <v>0</v>
      </c>
      <c r="N31" s="348"/>
    </row>
    <row r="32" spans="1:14">
      <c r="A32" s="259" t="s">
        <v>233</v>
      </c>
      <c r="B32" s="36"/>
      <c r="C32" s="44" t="s">
        <v>234</v>
      </c>
      <c r="D32" s="45"/>
      <c r="E32" s="258">
        <v>0</v>
      </c>
      <c r="F32" s="303">
        <f t="shared" si="5"/>
        <v>0</v>
      </c>
      <c r="G32" s="304">
        <v>0</v>
      </c>
      <c r="H32" s="304">
        <v>0</v>
      </c>
      <c r="I32" s="304">
        <v>0</v>
      </c>
      <c r="J32" s="304">
        <v>0</v>
      </c>
      <c r="K32" s="304">
        <v>0</v>
      </c>
      <c r="L32" s="304">
        <v>0</v>
      </c>
      <c r="M32" s="305">
        <v>0</v>
      </c>
      <c r="N32" s="348"/>
    </row>
    <row r="33" spans="1:14">
      <c r="A33" s="259" t="s">
        <v>235</v>
      </c>
      <c r="B33" s="36"/>
      <c r="C33" s="44">
        <v>251</v>
      </c>
      <c r="D33" s="45"/>
      <c r="E33" s="258">
        <v>0</v>
      </c>
      <c r="F33" s="303">
        <f t="shared" si="5"/>
        <v>0</v>
      </c>
      <c r="G33" s="304">
        <v>0</v>
      </c>
      <c r="H33" s="304">
        <v>0</v>
      </c>
      <c r="I33" s="304">
        <v>0</v>
      </c>
      <c r="J33" s="304">
        <v>0</v>
      </c>
      <c r="K33" s="304">
        <v>0</v>
      </c>
      <c r="L33" s="304">
        <v>0</v>
      </c>
      <c r="M33" s="305">
        <v>0</v>
      </c>
      <c r="N33" s="348"/>
    </row>
    <row r="34" spans="1:14">
      <c r="A34" s="259" t="s">
        <v>242</v>
      </c>
      <c r="B34" s="36"/>
      <c r="C34" s="44">
        <v>252</v>
      </c>
      <c r="D34" s="45"/>
      <c r="E34" s="258">
        <v>0</v>
      </c>
      <c r="F34" s="303">
        <f t="shared" si="5"/>
        <v>0</v>
      </c>
      <c r="G34" s="304">
        <v>0</v>
      </c>
      <c r="H34" s="304">
        <v>0</v>
      </c>
      <c r="I34" s="304">
        <v>0</v>
      </c>
      <c r="J34" s="304">
        <v>0</v>
      </c>
      <c r="K34" s="304">
        <v>0</v>
      </c>
      <c r="L34" s="304">
        <v>0</v>
      </c>
      <c r="M34" s="305">
        <v>0</v>
      </c>
      <c r="N34" s="373"/>
    </row>
    <row r="35" spans="1:14" ht="87">
      <c r="A35" s="530" t="s">
        <v>242</v>
      </c>
      <c r="B35" s="57"/>
      <c r="C35" s="597">
        <v>252</v>
      </c>
      <c r="D35" s="45"/>
      <c r="E35" s="258">
        <v>552</v>
      </c>
      <c r="F35" s="303">
        <f>SUM(G35:M35)</f>
        <v>552</v>
      </c>
      <c r="G35" s="304">
        <v>7</v>
      </c>
      <c r="H35" s="304">
        <v>68</v>
      </c>
      <c r="I35" s="304">
        <v>13</v>
      </c>
      <c r="J35" s="304">
        <v>25</v>
      </c>
      <c r="K35" s="304">
        <v>0</v>
      </c>
      <c r="L35" s="304">
        <f t="shared" ref="L35" si="6">$O$35*W18</f>
        <v>0</v>
      </c>
      <c r="M35" s="305">
        <v>439</v>
      </c>
      <c r="N35" s="373" t="s">
        <v>1251</v>
      </c>
    </row>
    <row r="36" spans="1:14" ht="87">
      <c r="A36" s="530" t="s">
        <v>242</v>
      </c>
      <c r="B36" s="57"/>
      <c r="C36" s="597">
        <v>252</v>
      </c>
      <c r="D36" s="45"/>
      <c r="E36" s="258">
        <v>15</v>
      </c>
      <c r="F36" s="303">
        <f t="shared" ref="F36:F38" si="7">SUM(G36:M36)</f>
        <v>15</v>
      </c>
      <c r="G36" s="304">
        <v>0</v>
      </c>
      <c r="H36" s="304">
        <v>2</v>
      </c>
      <c r="I36" s="304">
        <v>1</v>
      </c>
      <c r="J36" s="304">
        <v>1</v>
      </c>
      <c r="K36" s="304">
        <v>0</v>
      </c>
      <c r="L36" s="304">
        <v>0</v>
      </c>
      <c r="M36" s="305">
        <v>11</v>
      </c>
      <c r="N36" s="373" t="s">
        <v>1251</v>
      </c>
    </row>
    <row r="37" spans="1:14" ht="87">
      <c r="A37" s="530" t="s">
        <v>242</v>
      </c>
      <c r="B37" s="57"/>
      <c r="C37" s="597">
        <v>252</v>
      </c>
      <c r="D37" s="45"/>
      <c r="E37" s="258">
        <v>10</v>
      </c>
      <c r="F37" s="303">
        <f t="shared" si="7"/>
        <v>10</v>
      </c>
      <c r="G37" s="304">
        <f>ROUND(0.06*5,0)</f>
        <v>0</v>
      </c>
      <c r="H37" s="304">
        <v>1</v>
      </c>
      <c r="I37" s="304">
        <v>1</v>
      </c>
      <c r="J37" s="304">
        <v>1</v>
      </c>
      <c r="K37" s="304">
        <v>0</v>
      </c>
      <c r="L37" s="304">
        <f t="shared" ref="L37" si="8">$O$35*W21</f>
        <v>0</v>
      </c>
      <c r="M37" s="305">
        <v>7</v>
      </c>
      <c r="N37" s="373" t="s">
        <v>1251</v>
      </c>
    </row>
    <row r="38" spans="1:14" ht="87">
      <c r="A38" s="259" t="s">
        <v>1019</v>
      </c>
      <c r="B38" s="36"/>
      <c r="C38" s="44">
        <v>252</v>
      </c>
      <c r="D38" s="45"/>
      <c r="E38" s="258">
        <v>0</v>
      </c>
      <c r="F38" s="303">
        <f t="shared" si="7"/>
        <v>46</v>
      </c>
      <c r="G38" s="304">
        <v>1</v>
      </c>
      <c r="H38" s="304">
        <v>6</v>
      </c>
      <c r="I38" s="304">
        <v>2</v>
      </c>
      <c r="J38" s="304">
        <v>3</v>
      </c>
      <c r="K38" s="304">
        <v>0</v>
      </c>
      <c r="L38" s="304">
        <v>0</v>
      </c>
      <c r="M38" s="305">
        <v>34</v>
      </c>
      <c r="N38" s="318" t="s">
        <v>1252</v>
      </c>
    </row>
    <row r="39" spans="1:14">
      <c r="A39" s="259" t="s">
        <v>244</v>
      </c>
      <c r="B39" s="36"/>
      <c r="C39" s="44">
        <v>253</v>
      </c>
      <c r="D39" s="259"/>
      <c r="E39" s="258">
        <v>0</v>
      </c>
      <c r="F39" s="303">
        <f t="shared" si="5"/>
        <v>0</v>
      </c>
      <c r="G39" s="304">
        <v>0</v>
      </c>
      <c r="H39" s="304">
        <v>0</v>
      </c>
      <c r="I39" s="304">
        <v>0</v>
      </c>
      <c r="J39" s="304">
        <v>0</v>
      </c>
      <c r="K39" s="304">
        <v>0</v>
      </c>
      <c r="L39" s="304">
        <v>0</v>
      </c>
      <c r="M39" s="305">
        <v>0</v>
      </c>
      <c r="N39" s="348"/>
    </row>
    <row r="40" spans="1:14">
      <c r="A40" s="259" t="s">
        <v>245</v>
      </c>
      <c r="B40" s="36"/>
      <c r="C40" s="44">
        <v>255</v>
      </c>
      <c r="D40" s="259"/>
      <c r="E40" s="258">
        <v>0</v>
      </c>
      <c r="F40" s="303">
        <f t="shared" si="5"/>
        <v>0</v>
      </c>
      <c r="G40" s="304">
        <v>0</v>
      </c>
      <c r="H40" s="304">
        <v>0</v>
      </c>
      <c r="I40" s="304">
        <v>0</v>
      </c>
      <c r="J40" s="304">
        <v>0</v>
      </c>
      <c r="K40" s="304">
        <v>0</v>
      </c>
      <c r="L40" s="304">
        <v>0</v>
      </c>
      <c r="M40" s="305">
        <v>0</v>
      </c>
      <c r="N40" s="348"/>
    </row>
    <row r="41" spans="1:14">
      <c r="A41" s="259" t="s">
        <v>246</v>
      </c>
      <c r="B41" s="36"/>
      <c r="C41" s="44">
        <v>256</v>
      </c>
      <c r="D41" s="259"/>
      <c r="E41" s="258">
        <v>0</v>
      </c>
      <c r="F41" s="303">
        <f t="shared" si="5"/>
        <v>0</v>
      </c>
      <c r="G41" s="304">
        <v>0</v>
      </c>
      <c r="H41" s="304">
        <v>0</v>
      </c>
      <c r="I41" s="304">
        <v>0</v>
      </c>
      <c r="J41" s="304">
        <v>0</v>
      </c>
      <c r="K41" s="304">
        <v>0</v>
      </c>
      <c r="L41" s="304">
        <v>0</v>
      </c>
      <c r="M41" s="305">
        <v>0</v>
      </c>
      <c r="N41" s="348"/>
    </row>
    <row r="42" spans="1:14">
      <c r="A42" s="259" t="s">
        <v>247</v>
      </c>
      <c r="B42" s="36"/>
      <c r="C42" s="44">
        <v>257</v>
      </c>
      <c r="D42" s="259"/>
      <c r="E42" s="258">
        <v>0</v>
      </c>
      <c r="F42" s="303">
        <f t="shared" si="5"/>
        <v>0</v>
      </c>
      <c r="G42" s="304">
        <v>0</v>
      </c>
      <c r="H42" s="304">
        <v>0</v>
      </c>
      <c r="I42" s="304">
        <v>0</v>
      </c>
      <c r="J42" s="304">
        <v>0</v>
      </c>
      <c r="K42" s="304">
        <v>0</v>
      </c>
      <c r="L42" s="304">
        <v>0</v>
      </c>
      <c r="M42" s="305">
        <v>0</v>
      </c>
      <c r="N42" s="348"/>
    </row>
    <row r="43" spans="1:14">
      <c r="A43" s="259" t="s">
        <v>248</v>
      </c>
      <c r="B43" s="36"/>
      <c r="C43" s="44" t="s">
        <v>249</v>
      </c>
      <c r="D43" s="259"/>
      <c r="E43" s="258">
        <v>0</v>
      </c>
      <c r="F43" s="303">
        <f t="shared" si="5"/>
        <v>0</v>
      </c>
      <c r="G43" s="304">
        <v>0</v>
      </c>
      <c r="H43" s="304">
        <v>0</v>
      </c>
      <c r="I43" s="304">
        <v>0</v>
      </c>
      <c r="J43" s="304">
        <v>0</v>
      </c>
      <c r="K43" s="304">
        <v>0</v>
      </c>
      <c r="L43" s="304">
        <v>0</v>
      </c>
      <c r="M43" s="305">
        <v>0</v>
      </c>
      <c r="N43" s="348"/>
    </row>
    <row r="44" spans="1:14">
      <c r="A44" s="260" t="s">
        <v>250</v>
      </c>
      <c r="B44" s="36"/>
      <c r="C44" s="261" t="s">
        <v>251</v>
      </c>
      <c r="D44" s="260"/>
      <c r="E44" s="258">
        <v>0</v>
      </c>
      <c r="F44" s="303">
        <f t="shared" si="5"/>
        <v>0</v>
      </c>
      <c r="G44" s="304">
        <v>0</v>
      </c>
      <c r="H44" s="304">
        <v>0</v>
      </c>
      <c r="I44" s="304">
        <v>0</v>
      </c>
      <c r="J44" s="304">
        <v>0</v>
      </c>
      <c r="K44" s="304">
        <v>0</v>
      </c>
      <c r="L44" s="304">
        <v>0</v>
      </c>
      <c r="M44" s="305">
        <v>0</v>
      </c>
      <c r="N44" s="348"/>
    </row>
    <row r="45" spans="1:14" ht="29">
      <c r="A45" s="260" t="s">
        <v>252</v>
      </c>
      <c r="B45" s="378"/>
      <c r="C45" s="261" t="s">
        <v>253</v>
      </c>
      <c r="D45" s="260"/>
      <c r="E45" s="311">
        <v>-1229</v>
      </c>
      <c r="F45" s="303">
        <f t="shared" si="5"/>
        <v>0</v>
      </c>
      <c r="G45" s="163">
        <v>0</v>
      </c>
      <c r="H45" s="163">
        <v>0</v>
      </c>
      <c r="I45" s="163">
        <v>0</v>
      </c>
      <c r="J45" s="163">
        <v>0</v>
      </c>
      <c r="K45" s="163">
        <v>0</v>
      </c>
      <c r="L45" s="163">
        <v>0</v>
      </c>
      <c r="M45" s="164">
        <v>0</v>
      </c>
      <c r="N45" s="318" t="s">
        <v>732</v>
      </c>
    </row>
    <row r="46" spans="1:14">
      <c r="A46" s="40" t="s">
        <v>254</v>
      </c>
      <c r="B46" s="260"/>
      <c r="C46" s="261"/>
      <c r="D46" s="242"/>
      <c r="E46" s="237">
        <f>SUM(E29:E45)</f>
        <v>-652</v>
      </c>
      <c r="F46" s="238">
        <f>SUM(F29:F45)</f>
        <v>623</v>
      </c>
      <c r="G46" s="238">
        <f t="shared" ref="G46:L46" si="9">SUM(G29:G45)</f>
        <v>8</v>
      </c>
      <c r="H46" s="238">
        <f t="shared" si="9"/>
        <v>77</v>
      </c>
      <c r="I46" s="238">
        <f t="shared" si="9"/>
        <v>17</v>
      </c>
      <c r="J46" s="238">
        <f t="shared" si="9"/>
        <v>30</v>
      </c>
      <c r="K46" s="238">
        <f t="shared" si="9"/>
        <v>0</v>
      </c>
      <c r="L46" s="238">
        <f t="shared" si="9"/>
        <v>0</v>
      </c>
      <c r="M46" s="238">
        <f>SUM(M29:M45)</f>
        <v>491</v>
      </c>
      <c r="N46" s="348"/>
    </row>
    <row r="47" spans="1:14">
      <c r="A47" s="40" t="s">
        <v>255</v>
      </c>
      <c r="B47" s="51"/>
      <c r="C47" s="147"/>
      <c r="D47" s="242"/>
      <c r="E47" s="239"/>
      <c r="F47" s="240">
        <v>0</v>
      </c>
      <c r="G47" s="240"/>
      <c r="H47" s="240"/>
      <c r="I47" s="240"/>
      <c r="J47" s="240"/>
      <c r="K47" s="240"/>
      <c r="L47" s="240"/>
      <c r="M47" s="240"/>
      <c r="N47" s="348"/>
    </row>
    <row r="48" spans="1:14">
      <c r="A48" s="40" t="s">
        <v>256</v>
      </c>
      <c r="B48" s="46"/>
      <c r="C48" s="47"/>
      <c r="D48" s="48"/>
      <c r="E48" s="237">
        <f t="shared" ref="E48:M48" si="10">E46+E27+E13-E47</f>
        <v>543</v>
      </c>
      <c r="F48" s="17">
        <f t="shared" si="10"/>
        <v>1844</v>
      </c>
      <c r="G48" s="17">
        <f t="shared" si="10"/>
        <v>31</v>
      </c>
      <c r="H48" s="17">
        <f t="shared" si="10"/>
        <v>231</v>
      </c>
      <c r="I48" s="17">
        <f t="shared" si="10"/>
        <v>52</v>
      </c>
      <c r="J48" s="17">
        <f t="shared" si="10"/>
        <v>89</v>
      </c>
      <c r="K48" s="17">
        <f t="shared" si="10"/>
        <v>0</v>
      </c>
      <c r="L48" s="17">
        <f t="shared" si="10"/>
        <v>0</v>
      </c>
      <c r="M48" s="17">
        <f t="shared" si="10"/>
        <v>1441</v>
      </c>
      <c r="N48" s="346"/>
    </row>
    <row r="49" spans="1:14">
      <c r="C49" s="639"/>
      <c r="D49" s="264" t="s">
        <v>299</v>
      </c>
      <c r="E49" s="310">
        <f>+E48-C53</f>
        <v>543</v>
      </c>
      <c r="F49" s="310">
        <f>+F48-B53</f>
        <v>403</v>
      </c>
    </row>
    <row r="50" spans="1:14">
      <c r="C50" s="641"/>
      <c r="D50" s="642" t="s">
        <v>715</v>
      </c>
      <c r="E50" s="643">
        <f>+E49+E26</f>
        <v>1308</v>
      </c>
      <c r="F50" s="643">
        <f>+F49+F26</f>
        <v>1134</v>
      </c>
      <c r="G50" s="257"/>
      <c r="H50" s="257"/>
      <c r="I50" s="257"/>
      <c r="J50" s="257"/>
      <c r="M50" s="257"/>
    </row>
    <row r="51" spans="1:14">
      <c r="A51" s="451" t="s">
        <v>494</v>
      </c>
      <c r="C51" s="639"/>
      <c r="G51" s="223"/>
      <c r="H51" s="223"/>
      <c r="I51" s="223"/>
      <c r="J51" s="223"/>
    </row>
    <row r="52" spans="1:14">
      <c r="A52" s="56" t="s">
        <v>300</v>
      </c>
      <c r="B52" s="377" t="s">
        <v>1012</v>
      </c>
      <c r="C52" s="31" t="s">
        <v>735</v>
      </c>
    </row>
    <row r="53" spans="1:14">
      <c r="A53" s="57" t="s">
        <v>301</v>
      </c>
      <c r="B53" s="58">
        <v>1441</v>
      </c>
      <c r="C53" s="58">
        <f>910-910</f>
        <v>0</v>
      </c>
      <c r="D53" s="370" t="s">
        <v>1253</v>
      </c>
    </row>
    <row r="54" spans="1:14">
      <c r="A54" s="259" t="s">
        <v>302</v>
      </c>
      <c r="B54" s="59">
        <v>0</v>
      </c>
      <c r="C54" s="59">
        <v>0</v>
      </c>
      <c r="D54" s="180" t="s">
        <v>1254</v>
      </c>
    </row>
    <row r="55" spans="1:14">
      <c r="A55" s="60" t="s">
        <v>495</v>
      </c>
      <c r="B55" s="61">
        <f>B53-B54</f>
        <v>1441</v>
      </c>
      <c r="C55" s="61">
        <f>+C53-C54</f>
        <v>0</v>
      </c>
    </row>
    <row r="57" spans="1:14">
      <c r="A57" s="370" t="s">
        <v>716</v>
      </c>
      <c r="B57" s="644">
        <f>+B55+F50-F45</f>
        <v>2575</v>
      </c>
      <c r="C57" s="645">
        <f>+E50-E45</f>
        <v>2537</v>
      </c>
    </row>
    <row r="58" spans="1:14" ht="15" thickBot="1">
      <c r="A58" s="31"/>
      <c r="B58" s="31"/>
      <c r="C58" s="32"/>
      <c r="D58" s="31"/>
      <c r="E58" s="31"/>
      <c r="F58" s="31"/>
      <c r="G58" s="31"/>
      <c r="H58" s="31"/>
      <c r="I58" s="31"/>
      <c r="J58" s="31"/>
      <c r="K58" s="31"/>
      <c r="L58" s="31"/>
      <c r="M58" s="31"/>
      <c r="N58" s="536"/>
    </row>
    <row r="59" spans="1:14" ht="15.5">
      <c r="A59" s="873" t="s">
        <v>257</v>
      </c>
      <c r="B59" s="874"/>
      <c r="C59" s="874"/>
      <c r="D59" s="874"/>
      <c r="E59" s="874"/>
      <c r="F59" s="874"/>
      <c r="G59" s="550"/>
      <c r="H59" s="31"/>
      <c r="I59" s="31"/>
      <c r="J59" s="31"/>
      <c r="K59" s="31"/>
      <c r="L59" s="31"/>
      <c r="M59" s="31"/>
      <c r="N59" s="536"/>
    </row>
    <row r="60" spans="1:14" ht="15.5">
      <c r="A60" s="875"/>
      <c r="B60" s="876"/>
      <c r="C60" s="876"/>
      <c r="D60" s="876"/>
      <c r="E60" s="876"/>
      <c r="F60" s="876"/>
      <c r="G60" s="551"/>
      <c r="H60" s="31"/>
      <c r="I60" s="31"/>
      <c r="J60" s="31"/>
      <c r="K60" s="31"/>
      <c r="L60" s="31"/>
      <c r="M60" s="31"/>
      <c r="N60" s="536"/>
    </row>
    <row r="61" spans="1:14">
      <c r="A61" s="877" t="s">
        <v>258</v>
      </c>
      <c r="B61" s="878"/>
      <c r="C61" s="552"/>
      <c r="D61" s="552"/>
      <c r="E61" s="552"/>
      <c r="F61" s="552"/>
      <c r="G61" s="551"/>
      <c r="H61" s="31"/>
      <c r="I61" s="31"/>
      <c r="J61" s="31"/>
      <c r="K61" s="31"/>
      <c r="L61" s="31"/>
      <c r="M61" s="31"/>
      <c r="N61" s="536"/>
    </row>
    <row r="62" spans="1:14">
      <c r="A62" s="553" t="s">
        <v>1009</v>
      </c>
      <c r="B62" s="554">
        <f>+E48-E45</f>
        <v>1772</v>
      </c>
      <c r="C62" s="555"/>
      <c r="D62" s="556"/>
      <c r="E62" s="556"/>
      <c r="F62" s="556"/>
      <c r="G62" s="551"/>
      <c r="H62" s="31"/>
      <c r="I62" s="31"/>
      <c r="J62" s="31"/>
      <c r="K62" s="31"/>
      <c r="L62" s="31"/>
      <c r="M62" s="31"/>
      <c r="N62" s="536"/>
    </row>
    <row r="63" spans="1:14">
      <c r="A63" s="557" t="s">
        <v>1010</v>
      </c>
      <c r="B63" s="558">
        <f>+F48</f>
        <v>1844</v>
      </c>
      <c r="C63" s="555"/>
      <c r="D63" s="556"/>
      <c r="E63" s="556"/>
      <c r="F63" s="556"/>
      <c r="G63" s="551"/>
      <c r="H63" s="31"/>
      <c r="I63" s="31"/>
      <c r="J63" s="31"/>
      <c r="K63" s="31"/>
      <c r="L63" s="31"/>
      <c r="M63" s="31"/>
      <c r="N63" s="536"/>
    </row>
    <row r="64" spans="1:14">
      <c r="A64" s="559" t="s">
        <v>259</v>
      </c>
      <c r="B64" s="560">
        <f>+B63-B62</f>
        <v>72</v>
      </c>
      <c r="C64" s="555"/>
      <c r="D64" s="556"/>
      <c r="E64" s="556"/>
      <c r="F64" s="556"/>
      <c r="G64" s="551"/>
      <c r="H64" s="31"/>
      <c r="I64" s="31"/>
      <c r="J64" s="31"/>
      <c r="K64" s="31"/>
      <c r="L64" s="31"/>
      <c r="M64" s="31"/>
      <c r="N64" s="536"/>
    </row>
    <row r="65" spans="1:14">
      <c r="A65" s="559" t="s">
        <v>260</v>
      </c>
      <c r="B65" s="561">
        <f>+B64/B62</f>
        <v>4.0632054176072234E-2</v>
      </c>
      <c r="C65" s="555"/>
      <c r="D65" s="556"/>
      <c r="E65" s="556"/>
      <c r="F65" s="556"/>
      <c r="G65" s="551"/>
      <c r="H65" s="31"/>
      <c r="I65" s="31"/>
      <c r="J65" s="31"/>
      <c r="K65" s="31"/>
      <c r="L65" s="31"/>
      <c r="M65" s="31"/>
      <c r="N65" s="536"/>
    </row>
    <row r="66" spans="1:14">
      <c r="A66" s="562"/>
      <c r="B66" s="556"/>
      <c r="C66" s="638"/>
      <c r="D66" s="556"/>
      <c r="E66" s="556"/>
      <c r="F66" s="556"/>
      <c r="G66" s="551"/>
      <c r="H66" s="31"/>
      <c r="I66" s="31"/>
      <c r="J66" s="31"/>
      <c r="K66" s="31"/>
      <c r="L66" s="31"/>
      <c r="M66" s="31"/>
      <c r="N66" s="536"/>
    </row>
    <row r="67" spans="1:14">
      <c r="A67" s="879" t="s">
        <v>261</v>
      </c>
      <c r="B67" s="880"/>
      <c r="C67" s="880"/>
      <c r="D67" s="880"/>
      <c r="E67" s="880"/>
      <c r="F67" s="880"/>
      <c r="G67" s="551"/>
      <c r="H67" s="31"/>
      <c r="I67" s="31"/>
      <c r="J67" s="31"/>
      <c r="K67" s="31"/>
      <c r="L67" s="31"/>
      <c r="M67" s="31"/>
      <c r="N67" s="536"/>
    </row>
    <row r="68" spans="1:14">
      <c r="A68" s="881"/>
      <c r="B68" s="882"/>
      <c r="C68" s="882"/>
      <c r="D68" s="882"/>
      <c r="E68" s="882"/>
      <c r="F68" s="883"/>
      <c r="G68" s="551"/>
      <c r="H68" s="31"/>
      <c r="I68" s="31"/>
      <c r="J68" s="31"/>
      <c r="K68" s="31"/>
      <c r="L68" s="31"/>
      <c r="M68" s="31"/>
      <c r="N68" s="536"/>
    </row>
    <row r="69" spans="1:14">
      <c r="A69" s="563"/>
      <c r="B69" s="564"/>
      <c r="C69" s="564"/>
      <c r="D69" s="564"/>
      <c r="E69" s="564"/>
      <c r="F69" s="564"/>
      <c r="G69" s="551"/>
      <c r="H69" s="31"/>
      <c r="I69" s="31"/>
      <c r="J69" s="31"/>
      <c r="K69" s="31"/>
      <c r="L69" s="31"/>
      <c r="M69" s="31"/>
      <c r="N69" s="536"/>
    </row>
    <row r="70" spans="1:14">
      <c r="A70" s="565" t="s">
        <v>262</v>
      </c>
      <c r="B70" s="556"/>
      <c r="C70" s="766"/>
      <c r="D70" s="556"/>
      <c r="E70" s="556"/>
      <c r="F70" s="556"/>
      <c r="G70" s="551"/>
      <c r="H70" s="31"/>
      <c r="I70" s="31"/>
      <c r="J70" s="31"/>
      <c r="K70" s="31"/>
      <c r="L70" s="31"/>
      <c r="M70" s="31"/>
      <c r="N70" s="536"/>
    </row>
    <row r="71" spans="1:14">
      <c r="A71" s="884"/>
      <c r="B71" s="885"/>
      <c r="C71" s="885"/>
      <c r="D71" s="885"/>
      <c r="E71" s="885"/>
      <c r="F71" s="886"/>
      <c r="G71" s="551"/>
      <c r="H71" s="31"/>
      <c r="I71" s="31"/>
      <c r="J71" s="31"/>
      <c r="K71" s="31"/>
      <c r="L71" s="31"/>
      <c r="M71" s="31"/>
      <c r="N71" s="536"/>
    </row>
    <row r="72" spans="1:14">
      <c r="A72" s="562"/>
      <c r="B72" s="556"/>
      <c r="C72" s="766"/>
      <c r="D72" s="556"/>
      <c r="E72" s="556"/>
      <c r="F72" s="556"/>
      <c r="G72" s="551"/>
      <c r="H72" s="31"/>
      <c r="I72" s="31"/>
      <c r="J72" s="31"/>
      <c r="K72" s="31"/>
      <c r="L72" s="31"/>
      <c r="M72" s="31"/>
      <c r="N72" s="536"/>
    </row>
    <row r="73" spans="1:14">
      <c r="A73" s="879" t="s">
        <v>1020</v>
      </c>
      <c r="B73" s="880"/>
      <c r="C73" s="880"/>
      <c r="D73" s="880"/>
      <c r="E73" s="880"/>
      <c r="F73" s="880"/>
      <c r="G73" s="551"/>
      <c r="H73" s="31"/>
      <c r="I73" s="31"/>
      <c r="J73" s="31"/>
      <c r="K73" s="31"/>
      <c r="L73" s="31"/>
      <c r="M73" s="31"/>
      <c r="N73" s="536"/>
    </row>
    <row r="74" spans="1:14">
      <c r="A74" s="898" t="s">
        <v>1021</v>
      </c>
      <c r="B74" s="899"/>
      <c r="C74" s="899"/>
      <c r="D74" s="899"/>
      <c r="E74" s="899"/>
      <c r="F74" s="899"/>
      <c r="G74" s="551"/>
      <c r="H74" s="31"/>
      <c r="I74" s="31"/>
      <c r="J74" s="31"/>
      <c r="K74" s="31"/>
      <c r="L74" s="31"/>
      <c r="M74" s="31"/>
      <c r="N74" s="536"/>
    </row>
    <row r="75" spans="1:14" ht="53" customHeight="1">
      <c r="A75" s="881" t="s">
        <v>1022</v>
      </c>
      <c r="B75" s="882"/>
      <c r="C75" s="882"/>
      <c r="D75" s="882"/>
      <c r="E75" s="882"/>
      <c r="F75" s="883"/>
      <c r="G75" s="551"/>
      <c r="H75" s="31"/>
      <c r="I75" s="31"/>
      <c r="J75" s="31"/>
      <c r="K75" s="31"/>
      <c r="L75" s="31"/>
      <c r="M75" s="31"/>
      <c r="N75" s="536"/>
    </row>
    <row r="76" spans="1:14">
      <c r="A76" s="565"/>
      <c r="B76" s="556"/>
      <c r="C76" s="766"/>
      <c r="D76" s="556"/>
      <c r="E76" s="556"/>
      <c r="F76" s="556"/>
      <c r="G76" s="551"/>
      <c r="H76" s="31"/>
      <c r="I76" s="31"/>
      <c r="J76" s="31"/>
      <c r="K76" s="31"/>
      <c r="L76" s="31"/>
      <c r="M76" s="31"/>
      <c r="N76" s="536"/>
    </row>
    <row r="77" spans="1:14">
      <c r="A77" s="879" t="s">
        <v>264</v>
      </c>
      <c r="B77" s="880"/>
      <c r="C77" s="880"/>
      <c r="D77" s="880"/>
      <c r="E77" s="880"/>
      <c r="F77" s="556"/>
      <c r="G77" s="551"/>
      <c r="H77" s="31"/>
      <c r="I77" s="31"/>
      <c r="J77" s="31"/>
      <c r="K77" s="31"/>
      <c r="L77" s="31"/>
      <c r="M77" s="31"/>
      <c r="N77" s="536"/>
    </row>
    <row r="78" spans="1:14">
      <c r="A78" s="889"/>
      <c r="B78" s="890"/>
      <c r="C78" s="890"/>
      <c r="D78" s="890"/>
      <c r="E78" s="890"/>
      <c r="F78" s="891"/>
      <c r="G78" s="551"/>
      <c r="H78" s="31"/>
      <c r="I78" s="31"/>
      <c r="J78" s="31"/>
      <c r="K78" s="31"/>
      <c r="L78" s="31"/>
      <c r="M78" s="31"/>
      <c r="N78" s="536"/>
    </row>
    <row r="79" spans="1:14">
      <c r="A79" s="562"/>
      <c r="B79" s="556"/>
      <c r="C79" s="766"/>
      <c r="D79" s="556"/>
      <c r="E79" s="556"/>
      <c r="F79" s="556"/>
      <c r="G79" s="551"/>
      <c r="H79" s="31"/>
      <c r="I79" s="31"/>
      <c r="J79" s="31"/>
      <c r="K79" s="31"/>
      <c r="L79" s="31"/>
      <c r="M79" s="31"/>
      <c r="N79" s="536"/>
    </row>
    <row r="80" spans="1:14">
      <c r="A80" s="565" t="s">
        <v>265</v>
      </c>
      <c r="B80" s="556"/>
      <c r="C80" s="766"/>
      <c r="D80" s="556"/>
      <c r="E80" s="556"/>
      <c r="F80" s="556"/>
      <c r="G80" s="551"/>
      <c r="H80" s="31"/>
      <c r="I80" s="31"/>
      <c r="J80" s="31"/>
      <c r="K80" s="31"/>
      <c r="L80" s="31"/>
      <c r="M80" s="31"/>
      <c r="N80" s="536"/>
    </row>
    <row r="81" spans="1:14">
      <c r="A81" s="566" t="s">
        <v>266</v>
      </c>
      <c r="B81" s="556"/>
      <c r="C81" s="766"/>
      <c r="D81" s="556"/>
      <c r="E81" s="556"/>
      <c r="F81" s="556"/>
      <c r="G81" s="551"/>
      <c r="H81" s="31"/>
      <c r="I81" s="31"/>
      <c r="J81" s="31"/>
      <c r="K81" s="31"/>
      <c r="L81" s="31"/>
      <c r="M81" s="31"/>
      <c r="N81" s="536"/>
    </row>
    <row r="82" spans="1:14" ht="27" customHeight="1">
      <c r="A82" s="892" t="s">
        <v>1030</v>
      </c>
      <c r="B82" s="893"/>
      <c r="C82" s="893"/>
      <c r="D82" s="893"/>
      <c r="E82" s="893"/>
      <c r="F82" s="893"/>
      <c r="G82" s="551"/>
      <c r="H82" s="31"/>
      <c r="I82" s="31"/>
      <c r="J82" s="31"/>
      <c r="K82" s="31"/>
      <c r="L82" s="31"/>
      <c r="M82" s="31"/>
      <c r="N82" s="536"/>
    </row>
    <row r="83" spans="1:14">
      <c r="A83" s="903"/>
      <c r="B83" s="904"/>
      <c r="C83" s="904"/>
      <c r="D83" s="904"/>
      <c r="E83" s="904"/>
      <c r="F83" s="905"/>
      <c r="G83" s="551"/>
      <c r="H83" s="31"/>
      <c r="I83" s="31"/>
      <c r="J83" s="31"/>
      <c r="K83" s="31"/>
      <c r="L83" s="31"/>
      <c r="M83" s="31"/>
      <c r="N83" s="536"/>
    </row>
    <row r="84" spans="1:14">
      <c r="A84" s="894"/>
      <c r="B84" s="895"/>
      <c r="C84" s="895"/>
      <c r="D84" s="895"/>
      <c r="E84" s="895"/>
      <c r="F84" s="895"/>
      <c r="G84" s="551"/>
      <c r="H84" s="31"/>
      <c r="I84" s="31"/>
      <c r="J84" s="31"/>
      <c r="K84" s="31"/>
      <c r="L84" s="31"/>
      <c r="M84" s="31"/>
      <c r="N84" s="536"/>
    </row>
    <row r="85" spans="1:14">
      <c r="A85" s="566" t="s">
        <v>268</v>
      </c>
      <c r="B85" s="556"/>
      <c r="C85" s="766"/>
      <c r="D85" s="556"/>
      <c r="E85" s="556"/>
      <c r="F85" s="556"/>
      <c r="G85" s="551"/>
      <c r="H85" s="31"/>
      <c r="I85" s="31"/>
      <c r="J85" s="31"/>
      <c r="K85" s="31"/>
      <c r="L85" s="31"/>
      <c r="M85" s="31"/>
      <c r="N85" s="536"/>
    </row>
    <row r="86" spans="1:14" ht="30" customHeight="1">
      <c r="A86" s="896" t="s">
        <v>269</v>
      </c>
      <c r="B86" s="897"/>
      <c r="C86" s="897"/>
      <c r="D86" s="897"/>
      <c r="E86" s="897"/>
      <c r="F86" s="897"/>
      <c r="G86" s="551"/>
      <c r="H86" s="31"/>
      <c r="I86" s="31"/>
      <c r="J86" s="31"/>
      <c r="K86" s="31"/>
      <c r="L86" s="31"/>
      <c r="M86" s="31"/>
      <c r="N86" s="536"/>
    </row>
    <row r="87" spans="1:14">
      <c r="A87" s="889"/>
      <c r="B87" s="890"/>
      <c r="C87" s="890"/>
      <c r="D87" s="890"/>
      <c r="E87" s="890"/>
      <c r="F87" s="891"/>
      <c r="G87" s="551"/>
      <c r="H87" s="31"/>
      <c r="I87" s="31"/>
      <c r="J87" s="31"/>
      <c r="K87" s="31"/>
      <c r="L87" s="31"/>
      <c r="M87" s="31"/>
      <c r="N87" s="536"/>
    </row>
    <row r="88" spans="1:14" ht="15" thickBot="1">
      <c r="A88" s="567"/>
      <c r="B88" s="568"/>
      <c r="C88" s="569"/>
      <c r="D88" s="568"/>
      <c r="E88" s="568"/>
      <c r="F88" s="568"/>
      <c r="G88" s="570"/>
      <c r="H88" s="31"/>
      <c r="I88" s="31"/>
      <c r="J88" s="31"/>
      <c r="K88" s="31"/>
      <c r="L88" s="31"/>
      <c r="M88" s="31"/>
      <c r="N88" s="536"/>
    </row>
    <row r="89" spans="1:14">
      <c r="A89" s="31"/>
      <c r="B89" s="31"/>
      <c r="C89" s="32"/>
      <c r="D89" s="31"/>
      <c r="E89" s="31"/>
      <c r="F89" s="31"/>
      <c r="G89" s="31"/>
      <c r="H89" s="31"/>
      <c r="I89" s="31"/>
      <c r="J89" s="31"/>
      <c r="K89" s="31"/>
      <c r="L89" s="31"/>
      <c r="M89" s="31"/>
      <c r="N89" s="536"/>
    </row>
    <row r="90" spans="1:14">
      <c r="C90" s="767"/>
    </row>
    <row r="91" spans="1:14">
      <c r="C91" s="767"/>
    </row>
    <row r="92" spans="1:14">
      <c r="C92" s="767"/>
    </row>
    <row r="93" spans="1:14">
      <c r="C93" s="767"/>
    </row>
    <row r="94" spans="1:14">
      <c r="C94" s="767"/>
    </row>
    <row r="95" spans="1:14">
      <c r="C95" s="767"/>
    </row>
    <row r="96" spans="1:14">
      <c r="C96" s="767"/>
    </row>
    <row r="97" spans="3:3">
      <c r="C97" s="767"/>
    </row>
    <row r="98" spans="3:3">
      <c r="C98" s="767"/>
    </row>
    <row r="99" spans="3:3">
      <c r="C99" s="767"/>
    </row>
    <row r="100" spans="3:3">
      <c r="C100" s="767"/>
    </row>
    <row r="101" spans="3:3">
      <c r="C101" s="767"/>
    </row>
    <row r="102" spans="3:3">
      <c r="C102" s="767"/>
    </row>
    <row r="103" spans="3:3">
      <c r="C103" s="767"/>
    </row>
    <row r="104" spans="3:3">
      <c r="C104" s="767"/>
    </row>
  </sheetData>
  <mergeCells count="17">
    <mergeCell ref="A86:F86"/>
    <mergeCell ref="A87:F87"/>
    <mergeCell ref="A77:E77"/>
    <mergeCell ref="A78:F78"/>
    <mergeCell ref="A82:F82"/>
    <mergeCell ref="A83:F83"/>
    <mergeCell ref="A84:F84"/>
    <mergeCell ref="A68:F68"/>
    <mergeCell ref="A71:F71"/>
    <mergeCell ref="A73:F73"/>
    <mergeCell ref="A74:F74"/>
    <mergeCell ref="A75:F75"/>
    <mergeCell ref="A1:N1"/>
    <mergeCell ref="A59:F59"/>
    <mergeCell ref="A60:F60"/>
    <mergeCell ref="A61:B61"/>
    <mergeCell ref="A67:F67"/>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39997558519241921"/>
    <pageSetUpPr fitToPage="1"/>
  </sheetPr>
  <dimension ref="A1:I20"/>
  <sheetViews>
    <sheetView zoomScaleNormal="100" workbookViewId="0">
      <selection sqref="A1:F1"/>
    </sheetView>
  </sheetViews>
  <sheetFormatPr defaultColWidth="17.26953125" defaultRowHeight="14.5"/>
  <cols>
    <col min="1" max="1" width="80.7265625" style="321" customWidth="1"/>
    <col min="2" max="2" width="10.7265625" style="321" customWidth="1"/>
    <col min="3" max="3" width="12" style="321" customWidth="1"/>
    <col min="4" max="4" width="10.7265625" style="321" customWidth="1"/>
    <col min="5" max="5" width="14.26953125" style="321" bestFit="1" customWidth="1"/>
    <col min="6" max="6" width="10.7265625" style="321" customWidth="1"/>
    <col min="7" max="7" width="14" style="321" bestFit="1" customWidth="1"/>
    <col min="8" max="8" width="11" style="321" bestFit="1" customWidth="1"/>
    <col min="9" max="9" width="11.81640625" style="321" bestFit="1" customWidth="1"/>
    <col min="10" max="16384" width="17.26953125" style="321"/>
  </cols>
  <sheetData>
    <row r="1" spans="1:9" ht="17.5" customHeight="1">
      <c r="A1" s="982" t="s">
        <v>508</v>
      </c>
      <c r="B1" s="983"/>
      <c r="C1" s="983"/>
      <c r="D1" s="983"/>
      <c r="E1" s="983"/>
      <c r="F1" s="984"/>
      <c r="G1" s="469"/>
      <c r="H1" s="469"/>
    </row>
    <row r="2" spans="1:9" ht="17.5">
      <c r="A2" s="985" t="s">
        <v>1003</v>
      </c>
      <c r="B2" s="986"/>
      <c r="C2" s="986"/>
      <c r="D2" s="986"/>
      <c r="E2" s="986"/>
      <c r="F2" s="987"/>
    </row>
    <row r="3" spans="1:9" ht="30">
      <c r="A3" s="322" t="s">
        <v>509</v>
      </c>
      <c r="B3" s="322" t="s">
        <v>510</v>
      </c>
      <c r="C3" s="322" t="s">
        <v>511</v>
      </c>
      <c r="D3" s="322" t="s">
        <v>512</v>
      </c>
      <c r="E3" s="323" t="s">
        <v>513</v>
      </c>
      <c r="F3" s="322" t="s">
        <v>514</v>
      </c>
    </row>
    <row r="4" spans="1:9" ht="16.5" customHeight="1">
      <c r="A4" s="324" t="s">
        <v>1004</v>
      </c>
      <c r="B4" s="325"/>
      <c r="C4" s="325"/>
      <c r="D4" s="325"/>
      <c r="E4" s="326"/>
      <c r="F4" s="325"/>
      <c r="G4" s="412"/>
    </row>
    <row r="5" spans="1:9" s="616" customFormat="1" ht="15">
      <c r="A5" s="610" t="s">
        <v>1306</v>
      </c>
      <c r="B5" s="611" t="s">
        <v>1309</v>
      </c>
      <c r="C5" s="612" t="s">
        <v>2</v>
      </c>
      <c r="D5" s="611">
        <v>86</v>
      </c>
      <c r="E5" s="613">
        <v>1500000</v>
      </c>
      <c r="F5" s="614">
        <v>1</v>
      </c>
      <c r="G5" s="615"/>
    </row>
    <row r="6" spans="1:9" s="616" customFormat="1" ht="15">
      <c r="A6" s="610" t="s">
        <v>1525</v>
      </c>
      <c r="B6" s="611" t="s">
        <v>1310</v>
      </c>
      <c r="C6" s="612" t="s">
        <v>1</v>
      </c>
      <c r="D6" s="611">
        <v>80</v>
      </c>
      <c r="E6" s="613">
        <v>745000</v>
      </c>
      <c r="F6" s="614">
        <v>2</v>
      </c>
      <c r="G6" s="615"/>
    </row>
    <row r="7" spans="1:9" s="616" customFormat="1" ht="15">
      <c r="A7" s="610" t="s">
        <v>1307</v>
      </c>
      <c r="B7" s="611" t="s">
        <v>1309</v>
      </c>
      <c r="C7" s="612" t="s">
        <v>1</v>
      </c>
      <c r="D7" s="611">
        <v>75</v>
      </c>
      <c r="E7" s="613">
        <v>3200000</v>
      </c>
      <c r="F7" s="614">
        <v>3</v>
      </c>
    </row>
    <row r="8" spans="1:9" s="616" customFormat="1" ht="15">
      <c r="A8" s="807" t="s">
        <v>1308</v>
      </c>
      <c r="B8" s="808" t="s">
        <v>1311</v>
      </c>
      <c r="C8" s="808" t="s">
        <v>3</v>
      </c>
      <c r="D8" s="611">
        <v>71</v>
      </c>
      <c r="E8" s="613">
        <v>3310000</v>
      </c>
      <c r="F8" s="614">
        <v>4</v>
      </c>
    </row>
    <row r="9" spans="1:9" s="616" customFormat="1" ht="15">
      <c r="A9" s="610" t="s">
        <v>1526</v>
      </c>
      <c r="B9" s="611" t="s">
        <v>1312</v>
      </c>
      <c r="C9" s="612" t="s">
        <v>1</v>
      </c>
      <c r="D9" s="611">
        <v>60</v>
      </c>
      <c r="E9" s="613">
        <v>866000</v>
      </c>
      <c r="F9" s="614">
        <v>5</v>
      </c>
    </row>
    <row r="10" spans="1:9" s="618" customFormat="1" ht="15.75" customHeight="1">
      <c r="A10" s="610" t="s">
        <v>970</v>
      </c>
      <c r="B10" s="617"/>
      <c r="C10" s="612" t="s">
        <v>971</v>
      </c>
      <c r="D10" s="617"/>
      <c r="E10" s="613">
        <v>379000</v>
      </c>
      <c r="F10" s="614">
        <v>6</v>
      </c>
      <c r="G10" s="471" t="s">
        <v>516</v>
      </c>
      <c r="H10" s="412" t="s">
        <v>1</v>
      </c>
      <c r="I10" s="513">
        <f>ROUND((+E17/$E$20)*E10,0)</f>
        <v>189520</v>
      </c>
    </row>
    <row r="11" spans="1:9" ht="16.5" customHeight="1">
      <c r="A11" s="327" t="s">
        <v>1005</v>
      </c>
      <c r="B11" s="413"/>
      <c r="C11" s="413"/>
      <c r="D11" s="413"/>
      <c r="E11" s="414">
        <f>SUM(E5:E10)</f>
        <v>10000000</v>
      </c>
      <c r="F11" s="328"/>
      <c r="G11" s="471" t="s">
        <v>517</v>
      </c>
      <c r="H11" s="412" t="s">
        <v>2</v>
      </c>
      <c r="I11" s="513">
        <f>ROUND((+E18/$E$20)*E10,0)</f>
        <v>59089</v>
      </c>
    </row>
    <row r="12" spans="1:9" ht="15.5">
      <c r="G12" s="471" t="s">
        <v>515</v>
      </c>
      <c r="H12" s="473" t="s">
        <v>3</v>
      </c>
      <c r="I12" s="515">
        <f>ROUND((+E19/$E$20)*E10,0)</f>
        <v>130391</v>
      </c>
    </row>
    <row r="13" spans="1:9">
      <c r="I13" s="514">
        <f>SUM(I10:I12)</f>
        <v>379000</v>
      </c>
    </row>
    <row r="14" spans="1:9">
      <c r="I14" s="475"/>
    </row>
    <row r="15" spans="1:9" ht="18.5">
      <c r="E15" s="321" t="s">
        <v>518</v>
      </c>
      <c r="F15" s="321" t="s">
        <v>519</v>
      </c>
      <c r="G15" s="516" t="s">
        <v>5</v>
      </c>
      <c r="I15" s="478" t="s">
        <v>1528</v>
      </c>
    </row>
    <row r="16" spans="1:9">
      <c r="D16" s="321" t="s">
        <v>0</v>
      </c>
      <c r="E16" s="470"/>
      <c r="F16" s="475"/>
      <c r="G16" s="470">
        <f>SUM(E16:F16)</f>
        <v>0</v>
      </c>
      <c r="I16" s="472">
        <f>+G16</f>
        <v>0</v>
      </c>
    </row>
    <row r="17" spans="4:9">
      <c r="D17" s="321" t="s">
        <v>1</v>
      </c>
      <c r="E17" s="470">
        <f>+E6+E7+E9</f>
        <v>4811000</v>
      </c>
      <c r="F17" s="475">
        <f>+I10</f>
        <v>189520</v>
      </c>
      <c r="G17" s="470">
        <f>SUM(E17:F17)</f>
        <v>5000520</v>
      </c>
      <c r="I17" s="472">
        <f>+G17</f>
        <v>5000520</v>
      </c>
    </row>
    <row r="18" spans="4:9">
      <c r="D18" s="321" t="s">
        <v>2</v>
      </c>
      <c r="E18" s="470">
        <f>+E5</f>
        <v>1500000</v>
      </c>
      <c r="F18" s="475">
        <f>+I11</f>
        <v>59089</v>
      </c>
      <c r="G18" s="470">
        <f>SUM(E18:F18)</f>
        <v>1559089</v>
      </c>
      <c r="I18" s="472">
        <f>+G18</f>
        <v>1559089</v>
      </c>
    </row>
    <row r="19" spans="4:9" ht="16">
      <c r="D19" s="321" t="s">
        <v>3</v>
      </c>
      <c r="E19" s="476">
        <f>+E8</f>
        <v>3310000</v>
      </c>
      <c r="F19" s="477">
        <f>+I12</f>
        <v>130391</v>
      </c>
      <c r="G19" s="476">
        <f>SUM(E19:F19)</f>
        <v>3440391</v>
      </c>
      <c r="I19" s="474">
        <f>+G19</f>
        <v>3440391</v>
      </c>
    </row>
    <row r="20" spans="4:9">
      <c r="E20" s="470">
        <f>SUM(E16:E19)</f>
        <v>9621000</v>
      </c>
      <c r="F20" s="475">
        <f>SUM(F16:F19)</f>
        <v>379000</v>
      </c>
      <c r="G20" s="470">
        <f>SUM(E20:F20)</f>
        <v>10000000</v>
      </c>
      <c r="I20" s="472">
        <f>SUM(I16:I19)</f>
        <v>10000000</v>
      </c>
    </row>
  </sheetData>
  <mergeCells count="2">
    <mergeCell ref="A1:F1"/>
    <mergeCell ref="A2:F2"/>
  </mergeCells>
  <printOptions horizontalCentered="1"/>
  <pageMargins left="0.2" right="0.2" top="0.75" bottom="0.75" header="0.3" footer="0.3"/>
  <pageSetup scale="87" orientation="landscape" r:id="rId1"/>
  <headerFooter>
    <oddHeader xml:space="preserve">&amp;CDRAFT NOT FOR DISTRIBUTION, INTERNAL USE ONLY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N67"/>
  <sheetViews>
    <sheetView workbookViewId="0">
      <selection sqref="A1:N1"/>
    </sheetView>
  </sheetViews>
  <sheetFormatPr defaultColWidth="9.1796875" defaultRowHeight="14.5"/>
  <cols>
    <col min="1" max="1" width="50.81640625" style="370" bestFit="1" customWidth="1"/>
    <col min="2" max="2" width="12.453125" style="370" customWidth="1"/>
    <col min="3" max="3" width="7.7265625" style="505" customWidth="1"/>
    <col min="4" max="4" width="8.7265625" style="370" customWidth="1"/>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ustomWidth="1"/>
    <col min="14" max="14" width="66.7265625" style="504" customWidth="1"/>
    <col min="15" max="15" width="57.453125" style="370" customWidth="1"/>
    <col min="16" max="16384" width="9.1796875" style="370"/>
  </cols>
  <sheetData>
    <row r="1" spans="1:14" ht="15.5">
      <c r="A1" s="854" t="s">
        <v>520</v>
      </c>
      <c r="B1" s="854"/>
      <c r="C1" s="854"/>
      <c r="D1" s="854"/>
      <c r="E1" s="854"/>
      <c r="F1" s="854"/>
      <c r="G1" s="854"/>
      <c r="H1" s="854"/>
      <c r="I1" s="854"/>
      <c r="J1" s="854"/>
      <c r="K1" s="854"/>
      <c r="L1" s="854"/>
      <c r="M1" s="854"/>
      <c r="N1" s="854"/>
    </row>
    <row r="2" spans="1:14" ht="26">
      <c r="A2" s="702" t="s">
        <v>521</v>
      </c>
      <c r="C2" s="639"/>
      <c r="N2" s="539"/>
    </row>
    <row r="3" spans="1:14">
      <c r="A3" s="506" t="s">
        <v>522</v>
      </c>
      <c r="C3" s="639"/>
      <c r="D3" s="529" t="s">
        <v>1011</v>
      </c>
      <c r="E3" s="529"/>
      <c r="F3" s="529"/>
      <c r="G3" s="529"/>
      <c r="H3" s="529"/>
      <c r="I3" s="529"/>
      <c r="J3" s="529"/>
      <c r="N3" s="539"/>
    </row>
    <row r="4" spans="1:14">
      <c r="A4" s="506" t="s">
        <v>502</v>
      </c>
      <c r="B4" s="31"/>
      <c r="C4" s="32"/>
      <c r="D4" s="31"/>
      <c r="E4" s="31"/>
      <c r="N4" s="539"/>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523</v>
      </c>
    </row>
    <row r="6" spans="1:14">
      <c r="A6" s="125" t="s">
        <v>216</v>
      </c>
      <c r="B6" s="126"/>
      <c r="C6" s="127"/>
      <c r="D6" s="126"/>
      <c r="E6" s="126"/>
      <c r="F6" s="87"/>
      <c r="G6" s="87"/>
      <c r="H6" s="87"/>
      <c r="I6" s="87"/>
      <c r="J6" s="87"/>
      <c r="K6" s="87"/>
      <c r="L6" s="87"/>
      <c r="M6" s="87"/>
      <c r="N6" s="128"/>
    </row>
    <row r="7" spans="1:14">
      <c r="A7" s="36" t="s">
        <v>217</v>
      </c>
      <c r="B7" s="260"/>
      <c r="C7" s="37" t="s">
        <v>218</v>
      </c>
      <c r="D7" s="39"/>
      <c r="E7" s="258">
        <v>0</v>
      </c>
      <c r="F7" s="303">
        <f>SUM(G7:M7)</f>
        <v>0</v>
      </c>
      <c r="G7" s="304">
        <v>0</v>
      </c>
      <c r="H7" s="304">
        <v>0</v>
      </c>
      <c r="I7" s="304">
        <v>0</v>
      </c>
      <c r="J7" s="304">
        <v>0</v>
      </c>
      <c r="K7" s="304">
        <v>0</v>
      </c>
      <c r="L7" s="304">
        <v>0</v>
      </c>
      <c r="M7" s="305">
        <v>0</v>
      </c>
      <c r="N7" s="348"/>
    </row>
    <row r="8" spans="1:14">
      <c r="A8" s="40" t="s">
        <v>219</v>
      </c>
      <c r="B8" s="260"/>
      <c r="C8" s="261"/>
      <c r="D8" s="39"/>
      <c r="E8" s="42">
        <f t="shared" ref="E8:M8" si="0">SUM(E7:E7)</f>
        <v>0</v>
      </c>
      <c r="F8" s="43">
        <f t="shared" si="0"/>
        <v>0</v>
      </c>
      <c r="G8" s="43">
        <f t="shared" si="0"/>
        <v>0</v>
      </c>
      <c r="H8" s="43">
        <f t="shared" si="0"/>
        <v>0</v>
      </c>
      <c r="I8" s="43">
        <f t="shared" si="0"/>
        <v>0</v>
      </c>
      <c r="J8" s="43">
        <f t="shared" si="0"/>
        <v>0</v>
      </c>
      <c r="K8" s="43">
        <f t="shared" si="0"/>
        <v>0</v>
      </c>
      <c r="L8" s="43">
        <f t="shared" si="0"/>
        <v>0</v>
      </c>
      <c r="M8" s="43">
        <f t="shared" si="0"/>
        <v>0</v>
      </c>
      <c r="N8" s="318"/>
    </row>
    <row r="9" spans="1:14">
      <c r="A9" s="125" t="s">
        <v>220</v>
      </c>
      <c r="B9" s="126"/>
      <c r="C9" s="127"/>
      <c r="D9" s="126"/>
      <c r="E9" s="126"/>
      <c r="F9" s="87"/>
      <c r="G9" s="87"/>
      <c r="H9" s="87"/>
      <c r="I9" s="87"/>
      <c r="J9" s="87"/>
      <c r="K9" s="87"/>
      <c r="L9" s="87"/>
      <c r="M9" s="87"/>
      <c r="N9" s="507"/>
    </row>
    <row r="10" spans="1:14">
      <c r="A10" s="71" t="s">
        <v>224</v>
      </c>
      <c r="B10" s="259"/>
      <c r="C10" s="44">
        <v>252</v>
      </c>
      <c r="D10" s="45"/>
      <c r="E10" s="258">
        <v>0</v>
      </c>
      <c r="F10" s="303">
        <f>SUM(G10:M10)</f>
        <v>0</v>
      </c>
      <c r="G10" s="304">
        <v>0</v>
      </c>
      <c r="H10" s="304">
        <v>0</v>
      </c>
      <c r="I10" s="304">
        <v>0</v>
      </c>
      <c r="J10" s="304">
        <v>0</v>
      </c>
      <c r="K10" s="304">
        <v>0</v>
      </c>
      <c r="L10" s="304">
        <v>0</v>
      </c>
      <c r="M10" s="305">
        <v>0</v>
      </c>
      <c r="N10" s="320"/>
    </row>
    <row r="11" spans="1:14">
      <c r="A11" s="259" t="s">
        <v>224</v>
      </c>
      <c r="B11" s="259"/>
      <c r="C11" s="44">
        <v>253</v>
      </c>
      <c r="D11" s="45"/>
      <c r="E11" s="258">
        <v>0</v>
      </c>
      <c r="F11" s="303">
        <f>SUM(G11:M11)</f>
        <v>0</v>
      </c>
      <c r="G11" s="304">
        <v>0</v>
      </c>
      <c r="H11" s="304">
        <v>0</v>
      </c>
      <c r="I11" s="304">
        <v>0</v>
      </c>
      <c r="J11" s="304">
        <v>0</v>
      </c>
      <c r="K11" s="304">
        <v>0</v>
      </c>
      <c r="L11" s="304">
        <v>0</v>
      </c>
      <c r="M11" s="305">
        <v>0</v>
      </c>
      <c r="N11" s="318"/>
    </row>
    <row r="12" spans="1:14">
      <c r="A12" s="259" t="s">
        <v>296</v>
      </c>
      <c r="B12" s="259"/>
      <c r="C12" s="44">
        <v>253</v>
      </c>
      <c r="D12" s="45"/>
      <c r="E12" s="258">
        <v>0</v>
      </c>
      <c r="F12" s="303">
        <f>SUM(G12:M12)</f>
        <v>0</v>
      </c>
      <c r="G12" s="304">
        <v>0</v>
      </c>
      <c r="H12" s="155"/>
      <c r="I12" s="304">
        <v>0</v>
      </c>
      <c r="J12" s="304">
        <v>0</v>
      </c>
      <c r="K12" s="304">
        <v>0</v>
      </c>
      <c r="L12" s="304">
        <v>0</v>
      </c>
      <c r="M12" s="305">
        <v>0</v>
      </c>
      <c r="N12" s="318"/>
    </row>
    <row r="13" spans="1:14">
      <c r="A13" s="259" t="s">
        <v>224</v>
      </c>
      <c r="B13" s="259"/>
      <c r="C13" s="44">
        <v>253</v>
      </c>
      <c r="D13" s="45"/>
      <c r="E13" s="258">
        <v>0</v>
      </c>
      <c r="F13" s="303">
        <f>SUM(G13:M13)</f>
        <v>0</v>
      </c>
      <c r="G13" s="304">
        <v>0</v>
      </c>
      <c r="H13" s="304">
        <v>0</v>
      </c>
      <c r="I13" s="304">
        <v>0</v>
      </c>
      <c r="J13" s="304">
        <v>0</v>
      </c>
      <c r="K13" s="304">
        <v>0</v>
      </c>
      <c r="L13" s="304">
        <v>0</v>
      </c>
      <c r="M13" s="305">
        <v>0</v>
      </c>
      <c r="N13" s="320"/>
    </row>
    <row r="14" spans="1:14">
      <c r="A14" s="40" t="s">
        <v>225</v>
      </c>
      <c r="B14" s="260"/>
      <c r="C14" s="261"/>
      <c r="D14" s="262">
        <f>SUM(D11:D13)</f>
        <v>0</v>
      </c>
      <c r="E14" s="42">
        <f>SUM(E10:E13)</f>
        <v>0</v>
      </c>
      <c r="F14" s="43">
        <f>SUM(F10:F13)</f>
        <v>0</v>
      </c>
      <c r="G14" s="43">
        <f t="shared" ref="G14:M14" si="1">SUM(G10:G13)</f>
        <v>0</v>
      </c>
      <c r="H14" s="43">
        <f t="shared" si="1"/>
        <v>0</v>
      </c>
      <c r="I14" s="43">
        <f t="shared" si="1"/>
        <v>0</v>
      </c>
      <c r="J14" s="43">
        <f t="shared" si="1"/>
        <v>0</v>
      </c>
      <c r="K14" s="43">
        <f t="shared" si="1"/>
        <v>0</v>
      </c>
      <c r="L14" s="43">
        <f t="shared" si="1"/>
        <v>0</v>
      </c>
      <c r="M14" s="43">
        <f t="shared" si="1"/>
        <v>0</v>
      </c>
      <c r="N14" s="318"/>
    </row>
    <row r="15" spans="1:14" s="351" customFormat="1">
      <c r="A15" s="125" t="s">
        <v>279</v>
      </c>
      <c r="B15" s="126"/>
      <c r="C15" s="127"/>
      <c r="D15" s="126"/>
      <c r="E15" s="126"/>
      <c r="F15" s="87"/>
      <c r="G15" s="87"/>
      <c r="H15" s="87"/>
      <c r="I15" s="87"/>
      <c r="J15" s="87"/>
      <c r="K15" s="87"/>
      <c r="L15" s="87"/>
      <c r="M15" s="87"/>
      <c r="N15" s="508"/>
    </row>
    <row r="16" spans="1:14">
      <c r="A16" s="259" t="s">
        <v>227</v>
      </c>
      <c r="B16" s="36"/>
      <c r="C16" s="37" t="s">
        <v>228</v>
      </c>
      <c r="D16" s="38">
        <v>0</v>
      </c>
      <c r="E16" s="258">
        <v>0</v>
      </c>
      <c r="F16" s="303">
        <f t="shared" ref="F16:F29" si="2">SUM(G16:M16)</f>
        <v>0</v>
      </c>
      <c r="G16" s="304">
        <v>0</v>
      </c>
      <c r="H16" s="304">
        <v>0</v>
      </c>
      <c r="I16" s="304">
        <v>0</v>
      </c>
      <c r="J16" s="304">
        <v>0</v>
      </c>
      <c r="K16" s="304">
        <v>0</v>
      </c>
      <c r="L16" s="304">
        <v>0</v>
      </c>
      <c r="M16" s="305">
        <v>0</v>
      </c>
      <c r="N16" s="320"/>
    </row>
    <row r="17" spans="1:14">
      <c r="A17" s="259" t="s">
        <v>229</v>
      </c>
      <c r="B17" s="36"/>
      <c r="C17" s="44" t="s">
        <v>230</v>
      </c>
      <c r="D17" s="45"/>
      <c r="E17" s="258">
        <v>0</v>
      </c>
      <c r="F17" s="303">
        <f t="shared" si="2"/>
        <v>0</v>
      </c>
      <c r="G17" s="304">
        <v>0</v>
      </c>
      <c r="H17" s="304">
        <v>0</v>
      </c>
      <c r="I17" s="304">
        <v>0</v>
      </c>
      <c r="J17" s="304">
        <v>0</v>
      </c>
      <c r="K17" s="304">
        <v>0</v>
      </c>
      <c r="L17" s="304">
        <v>0</v>
      </c>
      <c r="M17" s="305">
        <v>0</v>
      </c>
      <c r="N17" s="318"/>
    </row>
    <row r="18" spans="1:14">
      <c r="A18" s="259" t="s">
        <v>231</v>
      </c>
      <c r="B18" s="36"/>
      <c r="C18" s="44" t="s">
        <v>232</v>
      </c>
      <c r="D18" s="45"/>
      <c r="E18" s="258">
        <v>0</v>
      </c>
      <c r="F18" s="303">
        <f t="shared" si="2"/>
        <v>0</v>
      </c>
      <c r="G18" s="304">
        <v>0</v>
      </c>
      <c r="H18" s="304">
        <v>0</v>
      </c>
      <c r="I18" s="304">
        <v>0</v>
      </c>
      <c r="J18" s="304">
        <v>0</v>
      </c>
      <c r="K18" s="304">
        <v>0</v>
      </c>
      <c r="L18" s="304">
        <v>0</v>
      </c>
      <c r="M18" s="305">
        <v>0</v>
      </c>
      <c r="N18" s="318"/>
    </row>
    <row r="19" spans="1:14" ht="15" customHeight="1">
      <c r="A19" s="259" t="s">
        <v>233</v>
      </c>
      <c r="B19" s="36"/>
      <c r="C19" s="44" t="s">
        <v>234</v>
      </c>
      <c r="D19" s="45"/>
      <c r="E19" s="258">
        <v>0</v>
      </c>
      <c r="F19" s="303">
        <f t="shared" si="2"/>
        <v>0</v>
      </c>
      <c r="G19" s="304">
        <v>0</v>
      </c>
      <c r="H19" s="304">
        <v>0</v>
      </c>
      <c r="I19" s="304">
        <v>0</v>
      </c>
      <c r="J19" s="304">
        <v>0</v>
      </c>
      <c r="K19" s="304">
        <v>0</v>
      </c>
      <c r="L19" s="304">
        <v>0</v>
      </c>
      <c r="M19" s="305">
        <v>0</v>
      </c>
      <c r="N19" s="320"/>
    </row>
    <row r="20" spans="1:14">
      <c r="A20" s="259" t="s">
        <v>235</v>
      </c>
      <c r="B20" s="36"/>
      <c r="C20" s="44">
        <v>251</v>
      </c>
      <c r="D20" s="45"/>
      <c r="E20" s="258">
        <v>0</v>
      </c>
      <c r="F20" s="303">
        <f t="shared" si="2"/>
        <v>0</v>
      </c>
      <c r="G20" s="304">
        <v>0</v>
      </c>
      <c r="H20" s="304">
        <v>0</v>
      </c>
      <c r="I20" s="304">
        <v>0</v>
      </c>
      <c r="J20" s="304">
        <v>0</v>
      </c>
      <c r="K20" s="304">
        <v>0</v>
      </c>
      <c r="L20" s="304">
        <v>0</v>
      </c>
      <c r="M20" s="305">
        <v>0</v>
      </c>
      <c r="N20" s="318"/>
    </row>
    <row r="21" spans="1:14">
      <c r="A21" s="259" t="s">
        <v>524</v>
      </c>
      <c r="B21" s="36"/>
      <c r="C21" s="44">
        <v>251</v>
      </c>
      <c r="D21" s="45"/>
      <c r="E21" s="258">
        <v>0</v>
      </c>
      <c r="F21" s="303">
        <f t="shared" si="2"/>
        <v>0</v>
      </c>
      <c r="G21" s="304">
        <v>0</v>
      </c>
      <c r="H21" s="304">
        <v>0</v>
      </c>
      <c r="I21" s="304">
        <v>0</v>
      </c>
      <c r="J21" s="304">
        <v>0</v>
      </c>
      <c r="K21" s="304">
        <v>0</v>
      </c>
      <c r="L21" s="304">
        <v>0</v>
      </c>
      <c r="M21" s="305">
        <v>0</v>
      </c>
      <c r="N21" s="318"/>
    </row>
    <row r="22" spans="1:14">
      <c r="A22" s="259" t="s">
        <v>525</v>
      </c>
      <c r="B22" s="36"/>
      <c r="C22" s="44">
        <v>251</v>
      </c>
      <c r="D22" s="45"/>
      <c r="E22" s="258">
        <v>0</v>
      </c>
      <c r="F22" s="303">
        <f t="shared" si="2"/>
        <v>0</v>
      </c>
      <c r="G22" s="304">
        <v>0</v>
      </c>
      <c r="H22" s="304">
        <v>0</v>
      </c>
      <c r="I22" s="304">
        <v>0</v>
      </c>
      <c r="J22" s="304">
        <v>0</v>
      </c>
      <c r="K22" s="304">
        <v>0</v>
      </c>
      <c r="L22" s="304">
        <v>0</v>
      </c>
      <c r="M22" s="305">
        <v>0</v>
      </c>
      <c r="N22" s="318"/>
    </row>
    <row r="23" spans="1:14">
      <c r="A23" s="259" t="s">
        <v>526</v>
      </c>
      <c r="B23" s="36"/>
      <c r="C23" s="44">
        <v>251</v>
      </c>
      <c r="D23" s="45"/>
      <c r="E23" s="258">
        <v>0</v>
      </c>
      <c r="F23" s="303">
        <f t="shared" si="2"/>
        <v>0</v>
      </c>
      <c r="G23" s="304">
        <v>0</v>
      </c>
      <c r="H23" s="304">
        <v>0</v>
      </c>
      <c r="I23" s="304">
        <v>0</v>
      </c>
      <c r="J23" s="304">
        <v>0</v>
      </c>
      <c r="K23" s="304">
        <v>0</v>
      </c>
      <c r="L23" s="304">
        <v>0</v>
      </c>
      <c r="M23" s="305">
        <v>0</v>
      </c>
      <c r="N23" s="318"/>
    </row>
    <row r="24" spans="1:14">
      <c r="A24" s="259" t="s">
        <v>527</v>
      </c>
      <c r="B24" s="36"/>
      <c r="C24" s="44">
        <v>252</v>
      </c>
      <c r="D24" s="45"/>
      <c r="E24" s="258">
        <v>0</v>
      </c>
      <c r="F24" s="303">
        <f t="shared" si="2"/>
        <v>0</v>
      </c>
      <c r="G24" s="304">
        <v>0</v>
      </c>
      <c r="H24" s="304">
        <v>0</v>
      </c>
      <c r="I24" s="304">
        <v>0</v>
      </c>
      <c r="J24" s="304">
        <v>0</v>
      </c>
      <c r="K24" s="304">
        <v>0</v>
      </c>
      <c r="L24" s="304">
        <f>SUM(150-150)</f>
        <v>0</v>
      </c>
      <c r="M24" s="305">
        <v>0</v>
      </c>
      <c r="N24" s="320"/>
    </row>
    <row r="25" spans="1:14">
      <c r="A25" s="259" t="s">
        <v>243</v>
      </c>
      <c r="B25" s="36"/>
      <c r="C25" s="44">
        <v>252</v>
      </c>
      <c r="D25" s="45"/>
      <c r="E25" s="258">
        <v>0</v>
      </c>
      <c r="F25" s="303">
        <f t="shared" si="2"/>
        <v>0</v>
      </c>
      <c r="G25" s="304">
        <v>0</v>
      </c>
      <c r="H25" s="304">
        <v>0</v>
      </c>
      <c r="I25" s="304">
        <v>0</v>
      </c>
      <c r="J25" s="304">
        <v>0</v>
      </c>
      <c r="K25" s="304">
        <v>0</v>
      </c>
      <c r="L25" s="304">
        <v>0</v>
      </c>
      <c r="M25" s="305">
        <v>0</v>
      </c>
      <c r="N25" s="318"/>
    </row>
    <row r="26" spans="1:14">
      <c r="A26" s="259" t="s">
        <v>246</v>
      </c>
      <c r="B26" s="36"/>
      <c r="C26" s="44">
        <v>256</v>
      </c>
      <c r="D26" s="259"/>
      <c r="E26" s="258">
        <v>0</v>
      </c>
      <c r="F26" s="303">
        <f t="shared" si="2"/>
        <v>0</v>
      </c>
      <c r="G26" s="304">
        <v>0</v>
      </c>
      <c r="H26" s="304">
        <v>0</v>
      </c>
      <c r="I26" s="304">
        <v>0</v>
      </c>
      <c r="J26" s="304">
        <v>0</v>
      </c>
      <c r="K26" s="304">
        <v>0</v>
      </c>
      <c r="L26" s="304">
        <v>0</v>
      </c>
      <c r="M26" s="305">
        <v>0</v>
      </c>
      <c r="N26" s="318"/>
    </row>
    <row r="27" spans="1:14">
      <c r="A27" s="259" t="s">
        <v>247</v>
      </c>
      <c r="B27" s="36"/>
      <c r="C27" s="44">
        <v>257</v>
      </c>
      <c r="D27" s="259"/>
      <c r="E27" s="258">
        <v>0</v>
      </c>
      <c r="F27" s="303">
        <f t="shared" si="2"/>
        <v>0</v>
      </c>
      <c r="G27" s="304">
        <v>0</v>
      </c>
      <c r="H27" s="304">
        <v>0</v>
      </c>
      <c r="I27" s="304">
        <v>0</v>
      </c>
      <c r="J27" s="304">
        <v>0</v>
      </c>
      <c r="K27" s="304">
        <v>0</v>
      </c>
      <c r="L27" s="304">
        <v>0</v>
      </c>
      <c r="M27" s="305">
        <v>0</v>
      </c>
      <c r="N27" s="318"/>
    </row>
    <row r="28" spans="1:14">
      <c r="A28" s="259" t="s">
        <v>248</v>
      </c>
      <c r="B28" s="36"/>
      <c r="C28" s="44" t="s">
        <v>249</v>
      </c>
      <c r="D28" s="259"/>
      <c r="E28" s="258">
        <v>0</v>
      </c>
      <c r="F28" s="303">
        <f t="shared" si="2"/>
        <v>0</v>
      </c>
      <c r="G28" s="304">
        <v>0</v>
      </c>
      <c r="H28" s="304">
        <v>0</v>
      </c>
      <c r="I28" s="304">
        <v>0</v>
      </c>
      <c r="J28" s="304">
        <v>0</v>
      </c>
      <c r="K28" s="304">
        <v>0</v>
      </c>
      <c r="L28" s="304">
        <v>0</v>
      </c>
      <c r="M28" s="305">
        <v>0</v>
      </c>
      <c r="N28" s="509"/>
    </row>
    <row r="29" spans="1:14">
      <c r="A29" s="260" t="s">
        <v>250</v>
      </c>
      <c r="B29" s="36"/>
      <c r="C29" s="261" t="s">
        <v>251</v>
      </c>
      <c r="D29" s="260"/>
      <c r="E29" s="258">
        <v>0</v>
      </c>
      <c r="F29" s="303">
        <f t="shared" si="2"/>
        <v>0</v>
      </c>
      <c r="G29" s="304">
        <v>0</v>
      </c>
      <c r="H29" s="304">
        <v>0</v>
      </c>
      <c r="I29" s="304">
        <v>0</v>
      </c>
      <c r="J29" s="304">
        <v>0</v>
      </c>
      <c r="K29" s="304">
        <v>0</v>
      </c>
      <c r="L29" s="304">
        <v>0</v>
      </c>
      <c r="M29" s="305">
        <v>0</v>
      </c>
      <c r="N29" s="348"/>
    </row>
    <row r="30" spans="1:14">
      <c r="A30" s="40" t="s">
        <v>254</v>
      </c>
      <c r="B30" s="260"/>
      <c r="C30" s="261"/>
      <c r="D30" s="262"/>
      <c r="E30" s="42">
        <f t="shared" ref="E30:M30" si="3">SUM(E16:E29)</f>
        <v>0</v>
      </c>
      <c r="F30" s="43">
        <f>SUM(F16:F29)</f>
        <v>0</v>
      </c>
      <c r="G30" s="43">
        <f t="shared" si="3"/>
        <v>0</v>
      </c>
      <c r="H30" s="43">
        <f t="shared" si="3"/>
        <v>0</v>
      </c>
      <c r="I30" s="43">
        <f t="shared" si="3"/>
        <v>0</v>
      </c>
      <c r="J30" s="43">
        <f t="shared" si="3"/>
        <v>0</v>
      </c>
      <c r="K30" s="43">
        <f t="shared" si="3"/>
        <v>0</v>
      </c>
      <c r="L30" s="43">
        <f t="shared" si="3"/>
        <v>0</v>
      </c>
      <c r="M30" s="43">
        <f t="shared" si="3"/>
        <v>0</v>
      </c>
      <c r="N30" s="318"/>
    </row>
    <row r="31" spans="1:14">
      <c r="A31" s="40" t="s">
        <v>255</v>
      </c>
      <c r="B31" s="51"/>
      <c r="C31" s="147"/>
      <c r="D31" s="262"/>
      <c r="E31" s="236">
        <v>0</v>
      </c>
      <c r="F31" s="235">
        <f>SUM(G31:M31)</f>
        <v>0</v>
      </c>
      <c r="G31" s="235">
        <v>0</v>
      </c>
      <c r="H31" s="235">
        <v>0</v>
      </c>
      <c r="I31" s="235">
        <v>0</v>
      </c>
      <c r="J31" s="235">
        <v>0</v>
      </c>
      <c r="K31" s="235">
        <v>0</v>
      </c>
      <c r="L31" s="235">
        <v>0</v>
      </c>
      <c r="M31" s="43">
        <v>0</v>
      </c>
      <c r="N31" s="318"/>
    </row>
    <row r="32" spans="1:14">
      <c r="A32" s="40" t="s">
        <v>256</v>
      </c>
      <c r="B32" s="46"/>
      <c r="C32" s="47"/>
      <c r="D32" s="48">
        <f>D30+D14+D8+D31</f>
        <v>0</v>
      </c>
      <c r="E32" s="42">
        <f t="shared" ref="E32:M32" si="4">E30+E14+E8-E31</f>
        <v>0</v>
      </c>
      <c r="F32" s="17">
        <f t="shared" si="4"/>
        <v>0</v>
      </c>
      <c r="G32" s="17">
        <f t="shared" si="4"/>
        <v>0</v>
      </c>
      <c r="H32" s="17">
        <f t="shared" si="4"/>
        <v>0</v>
      </c>
      <c r="I32" s="17">
        <f t="shared" si="4"/>
        <v>0</v>
      </c>
      <c r="J32" s="17">
        <f t="shared" si="4"/>
        <v>0</v>
      </c>
      <c r="K32" s="17">
        <f t="shared" si="4"/>
        <v>0</v>
      </c>
      <c r="L32" s="17">
        <f t="shared" si="4"/>
        <v>0</v>
      </c>
      <c r="M32" s="17">
        <f t="shared" si="4"/>
        <v>0</v>
      </c>
      <c r="N32" s="318"/>
    </row>
    <row r="35" spans="1:14" ht="15" thickBot="1">
      <c r="A35" s="31"/>
      <c r="B35" s="31"/>
      <c r="C35" s="32"/>
      <c r="D35" s="31"/>
      <c r="E35" s="31"/>
      <c r="F35" s="31"/>
      <c r="G35" s="31"/>
      <c r="H35" s="31"/>
      <c r="I35" s="31"/>
      <c r="J35" s="31"/>
      <c r="K35" s="31"/>
      <c r="L35" s="31"/>
      <c r="M35" s="31"/>
      <c r="N35" s="536"/>
    </row>
    <row r="36" spans="1:14" ht="15.5">
      <c r="A36" s="873" t="s">
        <v>257</v>
      </c>
      <c r="B36" s="874"/>
      <c r="C36" s="874"/>
      <c r="D36" s="874"/>
      <c r="E36" s="874"/>
      <c r="F36" s="874"/>
      <c r="G36" s="550"/>
      <c r="H36" s="31"/>
      <c r="I36" s="31"/>
      <c r="J36" s="31"/>
      <c r="K36" s="31"/>
      <c r="L36" s="31"/>
      <c r="M36" s="31"/>
      <c r="N36" s="536"/>
    </row>
    <row r="37" spans="1:14" ht="15.5">
      <c r="A37" s="875"/>
      <c r="B37" s="876"/>
      <c r="C37" s="876"/>
      <c r="D37" s="876"/>
      <c r="E37" s="876"/>
      <c r="F37" s="876"/>
      <c r="G37" s="551"/>
      <c r="H37" s="31"/>
      <c r="I37" s="31"/>
      <c r="J37" s="31"/>
      <c r="K37" s="31"/>
      <c r="L37" s="31"/>
      <c r="M37" s="31"/>
      <c r="N37" s="536"/>
    </row>
    <row r="38" spans="1:14">
      <c r="A38" s="877" t="s">
        <v>258</v>
      </c>
      <c r="B38" s="878"/>
      <c r="C38" s="552"/>
      <c r="D38" s="552"/>
      <c r="E38" s="552"/>
      <c r="F38" s="552"/>
      <c r="G38" s="551"/>
      <c r="H38" s="31"/>
      <c r="I38" s="31"/>
      <c r="J38" s="31"/>
      <c r="K38" s="31"/>
      <c r="L38" s="31"/>
      <c r="M38" s="31"/>
      <c r="N38" s="536"/>
    </row>
    <row r="39" spans="1:14">
      <c r="A39" s="553" t="s">
        <v>1009</v>
      </c>
      <c r="B39" s="554">
        <f>+E32</f>
        <v>0</v>
      </c>
      <c r="C39" s="555"/>
      <c r="D39" s="556"/>
      <c r="E39" s="556"/>
      <c r="F39" s="556"/>
      <c r="G39" s="551"/>
      <c r="H39" s="31"/>
      <c r="I39" s="31"/>
      <c r="J39" s="31"/>
      <c r="K39" s="31"/>
      <c r="L39" s="31"/>
      <c r="M39" s="31"/>
      <c r="N39" s="536"/>
    </row>
    <row r="40" spans="1:14">
      <c r="A40" s="557" t="s">
        <v>1010</v>
      </c>
      <c r="B40" s="558">
        <f>+F32</f>
        <v>0</v>
      </c>
      <c r="C40" s="555"/>
      <c r="D40" s="556"/>
      <c r="E40" s="556"/>
      <c r="F40" s="556"/>
      <c r="G40" s="551"/>
      <c r="H40" s="31"/>
      <c r="I40" s="31"/>
      <c r="J40" s="31"/>
      <c r="K40" s="31"/>
      <c r="L40" s="31"/>
      <c r="M40" s="31"/>
      <c r="N40" s="536"/>
    </row>
    <row r="41" spans="1:14">
      <c r="A41" s="559" t="s">
        <v>259</v>
      </c>
      <c r="B41" s="560">
        <f>+B40-B39</f>
        <v>0</v>
      </c>
      <c r="C41" s="555"/>
      <c r="D41" s="556"/>
      <c r="E41" s="556"/>
      <c r="F41" s="556"/>
      <c r="G41" s="551"/>
      <c r="H41" s="31"/>
      <c r="I41" s="31"/>
      <c r="J41" s="31"/>
      <c r="K41" s="31"/>
      <c r="L41" s="31"/>
      <c r="M41" s="31"/>
      <c r="N41" s="536"/>
    </row>
    <row r="42" spans="1:14">
      <c r="A42" s="559" t="s">
        <v>260</v>
      </c>
      <c r="B42" s="561" t="e">
        <f>+B41/B39</f>
        <v>#DIV/0!</v>
      </c>
      <c r="C42" s="555"/>
      <c r="D42" s="556"/>
      <c r="E42" s="556"/>
      <c r="F42" s="556"/>
      <c r="G42" s="551"/>
      <c r="H42" s="31"/>
      <c r="I42" s="31"/>
      <c r="J42" s="31"/>
      <c r="K42" s="31"/>
      <c r="L42" s="31"/>
      <c r="M42" s="31"/>
      <c r="N42" s="536"/>
    </row>
    <row r="43" spans="1:14">
      <c r="A43" s="562"/>
      <c r="B43" s="556"/>
      <c r="C43" s="638"/>
      <c r="D43" s="556"/>
      <c r="E43" s="556"/>
      <c r="F43" s="556"/>
      <c r="G43" s="551"/>
      <c r="H43" s="31"/>
      <c r="I43" s="31"/>
      <c r="J43" s="31"/>
      <c r="K43" s="31"/>
      <c r="L43" s="31"/>
      <c r="M43" s="31"/>
      <c r="N43" s="536"/>
    </row>
    <row r="44" spans="1:14">
      <c r="A44" s="879" t="s">
        <v>261</v>
      </c>
      <c r="B44" s="880"/>
      <c r="C44" s="880"/>
      <c r="D44" s="880"/>
      <c r="E44" s="880"/>
      <c r="F44" s="880"/>
      <c r="G44" s="551"/>
      <c r="H44" s="31"/>
      <c r="I44" s="31"/>
      <c r="J44" s="31"/>
      <c r="K44" s="31"/>
      <c r="L44" s="31"/>
      <c r="M44" s="31"/>
      <c r="N44" s="536"/>
    </row>
    <row r="45" spans="1:14">
      <c r="A45" s="881"/>
      <c r="B45" s="882"/>
      <c r="C45" s="882"/>
      <c r="D45" s="882"/>
      <c r="E45" s="882"/>
      <c r="F45" s="883"/>
      <c r="G45" s="551"/>
      <c r="H45" s="31"/>
      <c r="I45" s="31"/>
      <c r="J45" s="31"/>
      <c r="K45" s="31"/>
      <c r="L45" s="31"/>
      <c r="M45" s="31"/>
      <c r="N45" s="536"/>
    </row>
    <row r="46" spans="1:14">
      <c r="A46" s="563"/>
      <c r="B46" s="564"/>
      <c r="C46" s="564"/>
      <c r="D46" s="564"/>
      <c r="E46" s="564"/>
      <c r="F46" s="564"/>
      <c r="G46" s="551"/>
      <c r="H46" s="31"/>
      <c r="I46" s="31"/>
      <c r="J46" s="31"/>
      <c r="K46" s="31"/>
      <c r="L46" s="31"/>
      <c r="M46" s="31"/>
      <c r="N46" s="536"/>
    </row>
    <row r="47" spans="1:14">
      <c r="A47" s="565" t="s">
        <v>262</v>
      </c>
      <c r="B47" s="556"/>
      <c r="C47" s="638"/>
      <c r="D47" s="556"/>
      <c r="E47" s="556"/>
      <c r="F47" s="556"/>
      <c r="G47" s="551"/>
      <c r="H47" s="31"/>
      <c r="I47" s="31"/>
      <c r="J47" s="31"/>
      <c r="K47" s="31"/>
      <c r="L47" s="31"/>
      <c r="M47" s="31"/>
      <c r="N47" s="536"/>
    </row>
    <row r="48" spans="1:14">
      <c r="A48" s="884"/>
      <c r="B48" s="885"/>
      <c r="C48" s="885"/>
      <c r="D48" s="885"/>
      <c r="E48" s="885"/>
      <c r="F48" s="886"/>
      <c r="G48" s="551"/>
      <c r="H48" s="31"/>
      <c r="I48" s="31"/>
      <c r="J48" s="31"/>
      <c r="K48" s="31"/>
      <c r="L48" s="31"/>
      <c r="M48" s="31"/>
      <c r="N48" s="536"/>
    </row>
    <row r="49" spans="1:14">
      <c r="A49" s="562"/>
      <c r="B49" s="556"/>
      <c r="C49" s="638"/>
      <c r="D49" s="556"/>
      <c r="E49" s="556"/>
      <c r="F49" s="556"/>
      <c r="G49" s="551"/>
      <c r="H49" s="31"/>
      <c r="I49" s="31"/>
      <c r="J49" s="31"/>
      <c r="K49" s="31"/>
      <c r="L49" s="31"/>
      <c r="M49" s="31"/>
      <c r="N49" s="536"/>
    </row>
    <row r="50" spans="1:14">
      <c r="A50" s="879" t="s">
        <v>1020</v>
      </c>
      <c r="B50" s="880"/>
      <c r="C50" s="880"/>
      <c r="D50" s="880"/>
      <c r="E50" s="880"/>
      <c r="F50" s="880"/>
      <c r="G50" s="551"/>
      <c r="H50" s="31"/>
      <c r="I50" s="31"/>
      <c r="J50" s="31"/>
      <c r="K50" s="31"/>
      <c r="L50" s="31"/>
      <c r="M50" s="31"/>
      <c r="N50" s="536"/>
    </row>
    <row r="51" spans="1:14">
      <c r="A51" s="898" t="s">
        <v>1021</v>
      </c>
      <c r="B51" s="899"/>
      <c r="C51" s="899"/>
      <c r="D51" s="899"/>
      <c r="E51" s="899"/>
      <c r="F51" s="899"/>
      <c r="G51" s="551"/>
      <c r="H51" s="31"/>
      <c r="I51" s="31"/>
      <c r="J51" s="31"/>
      <c r="K51" s="31"/>
      <c r="L51" s="31"/>
      <c r="M51" s="31"/>
      <c r="N51" s="536"/>
    </row>
    <row r="52" spans="1:14">
      <c r="A52" s="884"/>
      <c r="B52" s="885"/>
      <c r="C52" s="885"/>
      <c r="D52" s="885"/>
      <c r="E52" s="885"/>
      <c r="F52" s="886"/>
      <c r="G52" s="551"/>
      <c r="H52" s="31"/>
      <c r="I52" s="31"/>
      <c r="J52" s="31"/>
      <c r="K52" s="31"/>
      <c r="L52" s="31"/>
      <c r="M52" s="31"/>
      <c r="N52" s="536"/>
    </row>
    <row r="53" spans="1:14">
      <c r="A53" s="565"/>
      <c r="B53" s="556"/>
      <c r="C53" s="638"/>
      <c r="D53" s="556"/>
      <c r="E53" s="556"/>
      <c r="F53" s="556"/>
      <c r="G53" s="551"/>
      <c r="H53" s="31"/>
      <c r="I53" s="31"/>
      <c r="J53" s="31"/>
      <c r="K53" s="31"/>
      <c r="L53" s="31"/>
      <c r="M53" s="31"/>
      <c r="N53" s="536"/>
    </row>
    <row r="54" spans="1:14">
      <c r="A54" s="879" t="s">
        <v>264</v>
      </c>
      <c r="B54" s="880"/>
      <c r="C54" s="880"/>
      <c r="D54" s="880"/>
      <c r="E54" s="880"/>
      <c r="F54" s="556"/>
      <c r="G54" s="551"/>
      <c r="H54" s="31"/>
      <c r="I54" s="31"/>
      <c r="J54" s="31"/>
      <c r="K54" s="31"/>
      <c r="L54" s="31"/>
      <c r="M54" s="31"/>
      <c r="N54" s="536"/>
    </row>
    <row r="55" spans="1:14">
      <c r="A55" s="889"/>
      <c r="B55" s="890"/>
      <c r="C55" s="890"/>
      <c r="D55" s="890"/>
      <c r="E55" s="890"/>
      <c r="F55" s="891"/>
      <c r="G55" s="551"/>
      <c r="H55" s="31"/>
      <c r="I55" s="31"/>
      <c r="J55" s="31"/>
      <c r="K55" s="31"/>
      <c r="L55" s="31"/>
      <c r="M55" s="31"/>
      <c r="N55" s="536"/>
    </row>
    <row r="56" spans="1:14">
      <c r="A56" s="562"/>
      <c r="B56" s="556"/>
      <c r="C56" s="638"/>
      <c r="D56" s="556"/>
      <c r="E56" s="556"/>
      <c r="F56" s="556"/>
      <c r="G56" s="551"/>
      <c r="H56" s="31"/>
      <c r="I56" s="31"/>
      <c r="J56" s="31"/>
      <c r="K56" s="31"/>
      <c r="L56" s="31"/>
      <c r="M56" s="31"/>
      <c r="N56" s="536"/>
    </row>
    <row r="57" spans="1:14">
      <c r="A57" s="565" t="s">
        <v>265</v>
      </c>
      <c r="B57" s="556"/>
      <c r="C57" s="638"/>
      <c r="D57" s="556"/>
      <c r="E57" s="556"/>
      <c r="F57" s="556"/>
      <c r="G57" s="551"/>
      <c r="H57" s="31"/>
      <c r="I57" s="31"/>
      <c r="J57" s="31"/>
      <c r="K57" s="31"/>
      <c r="L57" s="31"/>
      <c r="M57" s="31"/>
      <c r="N57" s="536"/>
    </row>
    <row r="58" spans="1:14">
      <c r="A58" s="566" t="s">
        <v>266</v>
      </c>
      <c r="B58" s="556"/>
      <c r="C58" s="638"/>
      <c r="D58" s="556"/>
      <c r="E58" s="556"/>
      <c r="F58" s="556"/>
      <c r="G58" s="551"/>
      <c r="H58" s="31"/>
      <c r="I58" s="31"/>
      <c r="J58" s="31"/>
      <c r="K58" s="31"/>
      <c r="L58" s="31"/>
      <c r="M58" s="31"/>
      <c r="N58" s="536"/>
    </row>
    <row r="59" spans="1:14" ht="27" customHeight="1">
      <c r="A59" s="892" t="s">
        <v>1437</v>
      </c>
      <c r="B59" s="893"/>
      <c r="C59" s="893"/>
      <c r="D59" s="893"/>
      <c r="E59" s="893"/>
      <c r="F59" s="893"/>
      <c r="G59" s="551"/>
      <c r="H59" s="31"/>
      <c r="I59" s="31"/>
      <c r="J59" s="31"/>
      <c r="K59" s="31"/>
      <c r="L59" s="31"/>
      <c r="M59" s="31"/>
      <c r="N59" s="536"/>
    </row>
    <row r="60" spans="1:14">
      <c r="A60" s="903"/>
      <c r="B60" s="904"/>
      <c r="C60" s="904"/>
      <c r="D60" s="904"/>
      <c r="E60" s="904"/>
      <c r="F60" s="905"/>
      <c r="G60" s="551"/>
      <c r="H60" s="31"/>
      <c r="I60" s="31"/>
      <c r="J60" s="31"/>
      <c r="K60" s="31"/>
      <c r="L60" s="31"/>
      <c r="M60" s="31"/>
      <c r="N60" s="536"/>
    </row>
    <row r="61" spans="1:14">
      <c r="A61" s="894"/>
      <c r="B61" s="895"/>
      <c r="C61" s="895"/>
      <c r="D61" s="895"/>
      <c r="E61" s="895"/>
      <c r="F61" s="895"/>
      <c r="G61" s="551"/>
      <c r="H61" s="31"/>
      <c r="I61" s="31"/>
      <c r="J61" s="31"/>
      <c r="K61" s="31"/>
      <c r="L61" s="31"/>
      <c r="M61" s="31"/>
      <c r="N61" s="536"/>
    </row>
    <row r="62" spans="1:14">
      <c r="A62" s="566" t="s">
        <v>268</v>
      </c>
      <c r="B62" s="556"/>
      <c r="C62" s="638"/>
      <c r="D62" s="556"/>
      <c r="E62" s="556"/>
      <c r="F62" s="556"/>
      <c r="G62" s="551"/>
      <c r="H62" s="31"/>
      <c r="I62" s="31"/>
      <c r="J62" s="31"/>
      <c r="K62" s="31"/>
      <c r="L62" s="31"/>
      <c r="M62" s="31"/>
      <c r="N62" s="536"/>
    </row>
    <row r="63" spans="1:14" ht="28.25" customHeight="1">
      <c r="A63" s="896" t="s">
        <v>269</v>
      </c>
      <c r="B63" s="897"/>
      <c r="C63" s="897"/>
      <c r="D63" s="897"/>
      <c r="E63" s="897"/>
      <c r="F63" s="897"/>
      <c r="G63" s="551"/>
      <c r="H63" s="31"/>
      <c r="I63" s="31"/>
      <c r="J63" s="31"/>
      <c r="K63" s="31"/>
      <c r="L63" s="31"/>
      <c r="M63" s="31"/>
      <c r="N63" s="536"/>
    </row>
    <row r="64" spans="1:14">
      <c r="A64" s="889"/>
      <c r="B64" s="890"/>
      <c r="C64" s="890"/>
      <c r="D64" s="890"/>
      <c r="E64" s="890"/>
      <c r="F64" s="891"/>
      <c r="G64" s="551"/>
      <c r="H64" s="31"/>
      <c r="I64" s="31"/>
      <c r="J64" s="31"/>
      <c r="K64" s="31"/>
      <c r="L64" s="31"/>
      <c r="M64" s="31"/>
      <c r="N64" s="536"/>
    </row>
    <row r="65" spans="1:14" ht="15" thickBot="1">
      <c r="A65" s="567"/>
      <c r="B65" s="568"/>
      <c r="C65" s="569"/>
      <c r="D65" s="568"/>
      <c r="E65" s="568"/>
      <c r="F65" s="568"/>
      <c r="G65" s="570"/>
      <c r="H65" s="31"/>
      <c r="I65" s="31"/>
      <c r="J65" s="31"/>
      <c r="K65" s="31"/>
      <c r="L65" s="31"/>
      <c r="M65" s="31"/>
      <c r="N65" s="536"/>
    </row>
    <row r="66" spans="1:14">
      <c r="A66" s="31"/>
      <c r="B66" s="31"/>
      <c r="C66" s="32"/>
      <c r="D66" s="31"/>
      <c r="E66" s="31"/>
      <c r="F66" s="31"/>
      <c r="G66" s="31"/>
      <c r="H66" s="31"/>
      <c r="I66" s="31"/>
      <c r="J66" s="31"/>
      <c r="K66" s="31"/>
      <c r="L66" s="31"/>
      <c r="M66" s="31"/>
      <c r="N66" s="536"/>
    </row>
    <row r="67" spans="1:14">
      <c r="C67" s="639"/>
      <c r="N67" s="539"/>
    </row>
  </sheetData>
  <mergeCells count="17">
    <mergeCell ref="A63:F63"/>
    <mergeCell ref="A64:F64"/>
    <mergeCell ref="A54:E54"/>
    <mergeCell ref="A55:F55"/>
    <mergeCell ref="A59:F59"/>
    <mergeCell ref="A60:F60"/>
    <mergeCell ref="A61:F61"/>
    <mergeCell ref="A45:F45"/>
    <mergeCell ref="A48:F48"/>
    <mergeCell ref="A50:F50"/>
    <mergeCell ref="A51:F51"/>
    <mergeCell ref="A52:F52"/>
    <mergeCell ref="A1:N1"/>
    <mergeCell ref="A36:F36"/>
    <mergeCell ref="A37:F37"/>
    <mergeCell ref="A38:B38"/>
    <mergeCell ref="A44:F4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O99"/>
  <sheetViews>
    <sheetView zoomScale="90" zoomScaleNormal="90" workbookViewId="0">
      <selection sqref="A1:N1"/>
    </sheetView>
  </sheetViews>
  <sheetFormatPr defaultColWidth="9.1796875" defaultRowHeight="14.5"/>
  <cols>
    <col min="1" max="1" width="45.81640625" style="149" customWidth="1"/>
    <col min="2" max="2" width="18.7265625" style="149" customWidth="1"/>
    <col min="3" max="3" width="7.7265625" style="150" customWidth="1"/>
    <col min="4" max="4" width="8.7265625" style="149" customWidth="1"/>
    <col min="5" max="5" width="10.7265625" style="149" customWidth="1"/>
    <col min="6" max="6" width="11" style="149" customWidth="1"/>
    <col min="7" max="7" width="9.54296875" style="149" customWidth="1"/>
    <col min="8" max="8" width="8.453125" style="149" customWidth="1"/>
    <col min="9" max="10" width="7.1796875" style="149" customWidth="1"/>
    <col min="11" max="11" width="7.7265625" style="149" customWidth="1"/>
    <col min="12" max="12" width="9.7265625" style="149" customWidth="1"/>
    <col min="13" max="13" width="9.1796875" style="149" customWidth="1"/>
    <col min="14" max="14" width="32.1796875" style="149" customWidth="1"/>
    <col min="15" max="15" width="37.54296875" style="149" customWidth="1"/>
    <col min="16" max="16384" width="9.1796875" style="149"/>
  </cols>
  <sheetData>
    <row r="1" spans="1:14" ht="15.5">
      <c r="A1" s="854" t="s">
        <v>165</v>
      </c>
      <c r="B1" s="854"/>
      <c r="C1" s="854"/>
      <c r="D1" s="854"/>
      <c r="E1" s="854"/>
      <c r="F1" s="854"/>
      <c r="G1" s="854"/>
      <c r="H1" s="854"/>
      <c r="I1" s="854"/>
      <c r="J1" s="854"/>
      <c r="K1" s="854"/>
      <c r="L1" s="854"/>
      <c r="M1" s="854"/>
      <c r="N1" s="854"/>
    </row>
    <row r="2" spans="1:14">
      <c r="A2" s="702" t="s">
        <v>784</v>
      </c>
      <c r="B2" s="370"/>
      <c r="C2" s="639"/>
      <c r="D2" s="370"/>
      <c r="E2" s="370"/>
      <c r="F2" s="370"/>
      <c r="G2" s="370"/>
      <c r="H2" s="370"/>
      <c r="I2" s="370"/>
      <c r="J2" s="370"/>
      <c r="K2" s="370"/>
      <c r="L2" s="370"/>
      <c r="M2" s="370"/>
      <c r="N2" s="370"/>
    </row>
    <row r="3" spans="1:14">
      <c r="A3" s="506" t="s">
        <v>813</v>
      </c>
      <c r="B3" s="370"/>
      <c r="C3" s="639"/>
      <c r="D3" s="370"/>
      <c r="E3" s="451" t="s">
        <v>210</v>
      </c>
      <c r="F3" s="29"/>
      <c r="G3" s="370"/>
      <c r="H3" s="370"/>
      <c r="I3" s="370"/>
      <c r="J3" s="370"/>
      <c r="K3" s="370"/>
      <c r="L3" s="370"/>
      <c r="M3" s="370"/>
      <c r="N3" s="370"/>
    </row>
    <row r="4" spans="1:14">
      <c r="A4" s="506" t="s">
        <v>1590</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s="347" customFormat="1">
      <c r="A7" s="36" t="s">
        <v>529</v>
      </c>
      <c r="B7" s="57" t="s">
        <v>530</v>
      </c>
      <c r="C7" s="37" t="s">
        <v>218</v>
      </c>
      <c r="D7" s="38">
        <v>0</v>
      </c>
      <c r="E7" s="258">
        <v>0</v>
      </c>
      <c r="F7" s="303">
        <f t="shared" ref="F7:F12" si="0">SUM(G7:M7)</f>
        <v>0</v>
      </c>
      <c r="G7" s="304">
        <v>0</v>
      </c>
      <c r="H7" s="304">
        <v>0</v>
      </c>
      <c r="I7" s="304">
        <v>0</v>
      </c>
      <c r="J7" s="304">
        <v>0</v>
      </c>
      <c r="K7" s="304">
        <v>0</v>
      </c>
      <c r="L7" s="304">
        <v>0</v>
      </c>
      <c r="M7" s="305">
        <v>0</v>
      </c>
      <c r="N7" s="318" t="s">
        <v>531</v>
      </c>
    </row>
    <row r="8" spans="1:14" s="347" customFormat="1" ht="15" customHeight="1">
      <c r="A8" s="36" t="s">
        <v>532</v>
      </c>
      <c r="B8" s="57" t="s">
        <v>533</v>
      </c>
      <c r="C8" s="37" t="s">
        <v>218</v>
      </c>
      <c r="D8" s="39">
        <v>0</v>
      </c>
      <c r="E8" s="258">
        <v>0</v>
      </c>
      <c r="F8" s="303">
        <f t="shared" si="0"/>
        <v>0</v>
      </c>
      <c r="G8" s="304">
        <v>0</v>
      </c>
      <c r="H8" s="304">
        <v>0</v>
      </c>
      <c r="I8" s="304">
        <v>0</v>
      </c>
      <c r="J8" s="304">
        <v>0</v>
      </c>
      <c r="K8" s="304">
        <v>0</v>
      </c>
      <c r="L8" s="304">
        <v>0</v>
      </c>
      <c r="M8" s="305">
        <v>0</v>
      </c>
      <c r="N8" s="318" t="s">
        <v>531</v>
      </c>
    </row>
    <row r="9" spans="1:14" s="347" customFormat="1" ht="15" customHeight="1">
      <c r="A9" s="36" t="s">
        <v>534</v>
      </c>
      <c r="B9" s="530" t="s">
        <v>535</v>
      </c>
      <c r="C9" s="37" t="s">
        <v>218</v>
      </c>
      <c r="D9" s="39">
        <v>0</v>
      </c>
      <c r="E9" s="258">
        <v>0</v>
      </c>
      <c r="F9" s="303">
        <f t="shared" si="0"/>
        <v>0</v>
      </c>
      <c r="G9" s="304">
        <v>0</v>
      </c>
      <c r="H9" s="304">
        <v>0</v>
      </c>
      <c r="I9" s="304">
        <v>0</v>
      </c>
      <c r="J9" s="304">
        <v>0</v>
      </c>
      <c r="K9" s="304">
        <v>0</v>
      </c>
      <c r="L9" s="304">
        <v>0</v>
      </c>
      <c r="M9" s="305">
        <v>0</v>
      </c>
      <c r="N9" s="318" t="s">
        <v>531</v>
      </c>
    </row>
    <row r="10" spans="1:14" s="347" customFormat="1" ht="15" customHeight="1">
      <c r="A10" s="36" t="s">
        <v>536</v>
      </c>
      <c r="B10" s="530" t="s">
        <v>785</v>
      </c>
      <c r="C10" s="37" t="s">
        <v>218</v>
      </c>
      <c r="D10" s="39">
        <v>0</v>
      </c>
      <c r="E10" s="258">
        <v>0</v>
      </c>
      <c r="F10" s="303">
        <f t="shared" si="0"/>
        <v>0</v>
      </c>
      <c r="G10" s="304">
        <v>0</v>
      </c>
      <c r="H10" s="304">
        <v>0</v>
      </c>
      <c r="I10" s="304">
        <v>0</v>
      </c>
      <c r="J10" s="304">
        <v>0</v>
      </c>
      <c r="K10" s="304">
        <v>0</v>
      </c>
      <c r="L10" s="304">
        <v>0</v>
      </c>
      <c r="M10" s="305">
        <v>0</v>
      </c>
      <c r="N10" s="318" t="s">
        <v>531</v>
      </c>
    </row>
    <row r="11" spans="1:14" ht="130.5">
      <c r="A11" s="36" t="s">
        <v>1110</v>
      </c>
      <c r="B11" s="601" t="s">
        <v>1111</v>
      </c>
      <c r="C11" s="37" t="s">
        <v>218</v>
      </c>
      <c r="D11" s="39">
        <v>1</v>
      </c>
      <c r="E11" s="258">
        <v>108</v>
      </c>
      <c r="F11" s="303">
        <f t="shared" si="0"/>
        <v>125</v>
      </c>
      <c r="G11" s="304">
        <v>0</v>
      </c>
      <c r="H11" s="304">
        <v>0</v>
      </c>
      <c r="I11" s="304">
        <v>0</v>
      </c>
      <c r="J11" s="304">
        <v>125</v>
      </c>
      <c r="K11" s="304">
        <v>0</v>
      </c>
      <c r="L11" s="304">
        <v>0</v>
      </c>
      <c r="M11" s="305">
        <v>0</v>
      </c>
      <c r="N11" s="698" t="s">
        <v>1112</v>
      </c>
    </row>
    <row r="12" spans="1:14" ht="43.5">
      <c r="A12" s="36" t="s">
        <v>537</v>
      </c>
      <c r="B12" s="601" t="s">
        <v>1111</v>
      </c>
      <c r="C12" s="37" t="s">
        <v>218</v>
      </c>
      <c r="D12" s="39">
        <v>1</v>
      </c>
      <c r="E12" s="258">
        <v>108</v>
      </c>
      <c r="F12" s="303">
        <f t="shared" si="0"/>
        <v>112</v>
      </c>
      <c r="G12" s="304">
        <v>0</v>
      </c>
      <c r="H12" s="304">
        <v>0</v>
      </c>
      <c r="I12" s="304">
        <v>0</v>
      </c>
      <c r="J12" s="304">
        <v>112</v>
      </c>
      <c r="K12" s="304">
        <v>0</v>
      </c>
      <c r="L12" s="304">
        <v>0</v>
      </c>
      <c r="M12" s="305">
        <v>0</v>
      </c>
      <c r="N12" s="698" t="s">
        <v>786</v>
      </c>
    </row>
    <row r="13" spans="1:14">
      <c r="A13" s="36" t="s">
        <v>1113</v>
      </c>
      <c r="B13" s="259" t="s">
        <v>538</v>
      </c>
      <c r="C13" s="37" t="s">
        <v>218</v>
      </c>
      <c r="D13" s="39">
        <v>1</v>
      </c>
      <c r="E13" s="258">
        <v>0</v>
      </c>
      <c r="F13" s="303">
        <f>SUM(G13:M13)</f>
        <v>60</v>
      </c>
      <c r="G13" s="304">
        <v>0</v>
      </c>
      <c r="H13" s="304">
        <v>0</v>
      </c>
      <c r="I13" s="304">
        <v>0</v>
      </c>
      <c r="J13" s="304">
        <v>60</v>
      </c>
      <c r="K13" s="304">
        <v>0</v>
      </c>
      <c r="L13" s="304">
        <v>0</v>
      </c>
      <c r="M13" s="305">
        <v>0</v>
      </c>
      <c r="N13" s="348"/>
    </row>
    <row r="14" spans="1:14">
      <c r="A14" s="36" t="s">
        <v>217</v>
      </c>
      <c r="B14" s="259"/>
      <c r="C14" s="37" t="s">
        <v>218</v>
      </c>
      <c r="D14" s="39"/>
      <c r="E14" s="258">
        <v>0</v>
      </c>
      <c r="F14" s="303">
        <f>SUM(G14:M14)</f>
        <v>0</v>
      </c>
      <c r="G14" s="304">
        <v>0</v>
      </c>
      <c r="H14" s="304">
        <v>0</v>
      </c>
      <c r="I14" s="304">
        <v>0</v>
      </c>
      <c r="J14" s="304">
        <v>0</v>
      </c>
      <c r="K14" s="304">
        <v>0</v>
      </c>
      <c r="L14" s="304">
        <v>0</v>
      </c>
      <c r="M14" s="305">
        <v>0</v>
      </c>
      <c r="N14" s="348"/>
    </row>
    <row r="15" spans="1:14">
      <c r="A15" s="36" t="s">
        <v>217</v>
      </c>
      <c r="B15" s="260"/>
      <c r="C15" s="37" t="s">
        <v>218</v>
      </c>
      <c r="D15" s="39"/>
      <c r="E15" s="258">
        <v>0</v>
      </c>
      <c r="F15" s="303">
        <f>SUM(G15:M15)</f>
        <v>0</v>
      </c>
      <c r="G15" s="304">
        <v>0</v>
      </c>
      <c r="H15" s="304">
        <v>0</v>
      </c>
      <c r="I15" s="304">
        <v>0</v>
      </c>
      <c r="J15" s="304">
        <v>0</v>
      </c>
      <c r="K15" s="304">
        <v>0</v>
      </c>
      <c r="L15" s="304">
        <v>0</v>
      </c>
      <c r="M15" s="305">
        <v>0</v>
      </c>
      <c r="N15" s="348"/>
    </row>
    <row r="16" spans="1:14">
      <c r="A16" s="40" t="s">
        <v>219</v>
      </c>
      <c r="B16" s="260"/>
      <c r="C16" s="261"/>
      <c r="D16" s="41">
        <f t="shared" ref="D16:M16" si="1">SUM(D7:D15)</f>
        <v>3</v>
      </c>
      <c r="E16" s="42">
        <f t="shared" si="1"/>
        <v>216</v>
      </c>
      <c r="F16" s="43">
        <f t="shared" si="1"/>
        <v>297</v>
      </c>
      <c r="G16" s="43">
        <f t="shared" si="1"/>
        <v>0</v>
      </c>
      <c r="H16" s="43">
        <f t="shared" si="1"/>
        <v>0</v>
      </c>
      <c r="I16" s="43">
        <f t="shared" si="1"/>
        <v>0</v>
      </c>
      <c r="J16" s="43">
        <f t="shared" si="1"/>
        <v>297</v>
      </c>
      <c r="K16" s="43">
        <f t="shared" si="1"/>
        <v>0</v>
      </c>
      <c r="L16" s="43">
        <f t="shared" si="1"/>
        <v>0</v>
      </c>
      <c r="M16" s="43">
        <f t="shared" si="1"/>
        <v>0</v>
      </c>
      <c r="N16" s="348"/>
    </row>
    <row r="17" spans="1:15">
      <c r="A17" s="67" t="s">
        <v>220</v>
      </c>
      <c r="B17" s="68"/>
      <c r="C17" s="69"/>
      <c r="D17" s="68"/>
      <c r="E17" s="68"/>
      <c r="F17" s="70"/>
      <c r="G17" s="70"/>
      <c r="H17" s="70"/>
      <c r="I17" s="70"/>
      <c r="J17" s="70"/>
      <c r="K17" s="70"/>
      <c r="L17" s="70"/>
      <c r="M17" s="70"/>
      <c r="N17" s="70"/>
    </row>
    <row r="18" spans="1:15">
      <c r="A18" s="259" t="s">
        <v>298</v>
      </c>
      <c r="B18" s="259"/>
      <c r="C18" s="44">
        <v>253</v>
      </c>
      <c r="D18" s="45"/>
      <c r="E18" s="258"/>
      <c r="F18" s="350"/>
      <c r="G18" s="304"/>
      <c r="H18" s="304"/>
      <c r="I18" s="304"/>
      <c r="J18" s="304"/>
      <c r="K18" s="304">
        <v>0</v>
      </c>
      <c r="L18" s="304">
        <v>0</v>
      </c>
      <c r="M18" s="305">
        <v>0</v>
      </c>
      <c r="N18" s="320"/>
    </row>
    <row r="19" spans="1:15">
      <c r="A19" s="259" t="s">
        <v>296</v>
      </c>
      <c r="B19" s="259"/>
      <c r="C19" s="44">
        <v>253</v>
      </c>
      <c r="D19" s="45"/>
      <c r="E19" s="258"/>
      <c r="F19" s="350"/>
      <c r="G19" s="304"/>
      <c r="H19" s="304"/>
      <c r="I19" s="304"/>
      <c r="J19" s="304"/>
      <c r="K19" s="304">
        <v>0</v>
      </c>
      <c r="L19" s="304">
        <v>0</v>
      </c>
      <c r="M19" s="305">
        <v>0</v>
      </c>
      <c r="N19" s="319"/>
    </row>
    <row r="20" spans="1:15">
      <c r="A20" s="259" t="s">
        <v>296</v>
      </c>
      <c r="B20" s="259"/>
      <c r="C20" s="44">
        <v>253</v>
      </c>
      <c r="D20" s="262"/>
      <c r="E20" s="258"/>
      <c r="F20" s="350"/>
      <c r="G20" s="304"/>
      <c r="H20" s="304"/>
      <c r="I20" s="304"/>
      <c r="J20" s="304"/>
      <c r="K20" s="304">
        <v>0</v>
      </c>
      <c r="L20" s="304">
        <v>0</v>
      </c>
      <c r="M20" s="305">
        <v>0</v>
      </c>
      <c r="N20" s="348"/>
    </row>
    <row r="21" spans="1:15" s="7" customFormat="1">
      <c r="A21" s="259" t="s">
        <v>315</v>
      </c>
      <c r="B21" s="259"/>
      <c r="C21" s="44">
        <v>253</v>
      </c>
      <c r="D21" s="262"/>
      <c r="E21" s="258"/>
      <c r="F21" s="350"/>
      <c r="G21" s="304"/>
      <c r="H21" s="304"/>
      <c r="I21" s="304"/>
      <c r="J21" s="304"/>
      <c r="K21" s="304">
        <v>0</v>
      </c>
      <c r="L21" s="304">
        <v>0</v>
      </c>
      <c r="M21" s="305">
        <v>0</v>
      </c>
      <c r="N21" s="319"/>
    </row>
    <row r="22" spans="1:15">
      <c r="A22" s="40" t="s">
        <v>225</v>
      </c>
      <c r="B22" s="260"/>
      <c r="C22" s="261"/>
      <c r="D22" s="262">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48"/>
    </row>
    <row r="23" spans="1:15" s="7" customFormat="1">
      <c r="A23" s="67" t="s">
        <v>226</v>
      </c>
      <c r="B23" s="68"/>
      <c r="C23" s="69"/>
      <c r="D23" s="68"/>
      <c r="E23" s="68"/>
      <c r="F23" s="70"/>
      <c r="G23" s="70"/>
      <c r="H23" s="70"/>
      <c r="I23" s="70"/>
      <c r="J23" s="70"/>
      <c r="K23" s="70"/>
      <c r="L23" s="70"/>
      <c r="M23" s="70"/>
      <c r="N23" s="70"/>
    </row>
    <row r="24" spans="1:15" s="347" customFormat="1" ht="72.5">
      <c r="A24" s="259" t="s">
        <v>227</v>
      </c>
      <c r="B24" s="36"/>
      <c r="C24" s="37" t="s">
        <v>228</v>
      </c>
      <c r="D24" s="38">
        <v>0</v>
      </c>
      <c r="E24" s="258">
        <v>20</v>
      </c>
      <c r="F24" s="303">
        <f t="shared" ref="F24:F41" si="3">SUM(G24:M24)</f>
        <v>20</v>
      </c>
      <c r="G24" s="304">
        <v>0</v>
      </c>
      <c r="H24" s="304">
        <v>0</v>
      </c>
      <c r="I24" s="304">
        <v>0</v>
      </c>
      <c r="J24" s="304">
        <v>20</v>
      </c>
      <c r="K24" s="304">
        <v>0</v>
      </c>
      <c r="L24" s="304">
        <v>0</v>
      </c>
      <c r="M24" s="305">
        <v>0</v>
      </c>
      <c r="N24" s="698" t="s">
        <v>1114</v>
      </c>
    </row>
    <row r="25" spans="1:15" s="347" customFormat="1">
      <c r="A25" s="259" t="s">
        <v>229</v>
      </c>
      <c r="B25" s="36"/>
      <c r="C25" s="44" t="s">
        <v>230</v>
      </c>
      <c r="D25" s="45"/>
      <c r="E25" s="258">
        <v>0</v>
      </c>
      <c r="F25" s="303">
        <f t="shared" si="3"/>
        <v>0</v>
      </c>
      <c r="G25" s="304">
        <v>0</v>
      </c>
      <c r="H25" s="304">
        <v>0</v>
      </c>
      <c r="I25" s="304">
        <v>0</v>
      </c>
      <c r="J25" s="304">
        <v>0</v>
      </c>
      <c r="K25" s="304">
        <v>0</v>
      </c>
      <c r="L25" s="304">
        <v>0</v>
      </c>
      <c r="M25" s="305">
        <v>0</v>
      </c>
      <c r="N25" s="318"/>
    </row>
    <row r="26" spans="1:15" s="347" customFormat="1" ht="145">
      <c r="A26" s="259" t="s">
        <v>231</v>
      </c>
      <c r="B26" s="36" t="s">
        <v>539</v>
      </c>
      <c r="C26" s="44" t="s">
        <v>232</v>
      </c>
      <c r="D26" s="45"/>
      <c r="E26" s="258">
        <v>124</v>
      </c>
      <c r="F26" s="303">
        <f t="shared" si="3"/>
        <v>137</v>
      </c>
      <c r="G26" s="304">
        <v>0</v>
      </c>
      <c r="H26" s="304">
        <v>0</v>
      </c>
      <c r="I26" s="304">
        <v>0</v>
      </c>
      <c r="J26" s="304">
        <v>137</v>
      </c>
      <c r="K26" s="304">
        <v>0</v>
      </c>
      <c r="L26" s="304">
        <v>0</v>
      </c>
      <c r="M26" s="305">
        <v>0</v>
      </c>
      <c r="N26" s="698" t="s">
        <v>1228</v>
      </c>
    </row>
    <row r="27" spans="1:15" s="347" customFormat="1">
      <c r="A27" s="259" t="s">
        <v>233</v>
      </c>
      <c r="B27" s="36"/>
      <c r="C27" s="44" t="s">
        <v>234</v>
      </c>
      <c r="D27" s="45"/>
      <c r="E27" s="258">
        <v>2</v>
      </c>
      <c r="F27" s="303">
        <f t="shared" si="3"/>
        <v>2</v>
      </c>
      <c r="G27" s="304">
        <v>0</v>
      </c>
      <c r="H27" s="304">
        <v>0</v>
      </c>
      <c r="I27" s="304">
        <v>0</v>
      </c>
      <c r="J27" s="304">
        <v>2</v>
      </c>
      <c r="K27" s="304">
        <v>0</v>
      </c>
      <c r="L27" s="304">
        <v>0</v>
      </c>
      <c r="M27" s="305">
        <v>0</v>
      </c>
      <c r="N27" s="698" t="s">
        <v>540</v>
      </c>
    </row>
    <row r="28" spans="1:15" s="370" customFormat="1" ht="271" customHeight="1">
      <c r="A28" s="259" t="s">
        <v>888</v>
      </c>
      <c r="B28" s="36" t="s">
        <v>889</v>
      </c>
      <c r="C28" s="44">
        <v>251</v>
      </c>
      <c r="D28" s="45"/>
      <c r="E28" s="258">
        <v>130</v>
      </c>
      <c r="F28" s="303">
        <f t="shared" si="3"/>
        <v>130</v>
      </c>
      <c r="G28" s="304"/>
      <c r="H28" s="304"/>
      <c r="I28" s="304"/>
      <c r="J28" s="304">
        <v>130</v>
      </c>
      <c r="K28" s="304"/>
      <c r="L28" s="304"/>
      <c r="M28" s="305"/>
      <c r="N28" s="698" t="s">
        <v>1115</v>
      </c>
      <c r="O28" s="775" t="s">
        <v>1116</v>
      </c>
    </row>
    <row r="29" spans="1:15" s="370" customFormat="1" ht="116">
      <c r="A29" s="530" t="s">
        <v>1119</v>
      </c>
      <c r="B29" s="57" t="s">
        <v>889</v>
      </c>
      <c r="C29" s="597"/>
      <c r="D29" s="45"/>
      <c r="E29" s="258">
        <v>0</v>
      </c>
      <c r="F29" s="303">
        <f t="shared" si="3"/>
        <v>250</v>
      </c>
      <c r="G29" s="304"/>
      <c r="H29" s="304"/>
      <c r="I29" s="304"/>
      <c r="J29" s="304">
        <v>250</v>
      </c>
      <c r="K29" s="304"/>
      <c r="L29" s="304"/>
      <c r="M29" s="305"/>
      <c r="N29" s="698" t="s">
        <v>1023</v>
      </c>
    </row>
    <row r="30" spans="1:15" s="347" customFormat="1" ht="58">
      <c r="A30" s="259" t="s">
        <v>235</v>
      </c>
      <c r="B30" s="57" t="s">
        <v>889</v>
      </c>
      <c r="C30" s="44">
        <v>251</v>
      </c>
      <c r="D30" s="45"/>
      <c r="E30" s="258">
        <v>25</v>
      </c>
      <c r="F30" s="303">
        <f t="shared" si="3"/>
        <v>25</v>
      </c>
      <c r="G30" s="304">
        <v>0</v>
      </c>
      <c r="H30" s="304">
        <v>0</v>
      </c>
      <c r="I30" s="304">
        <v>0</v>
      </c>
      <c r="J30" s="304">
        <v>25</v>
      </c>
      <c r="K30" s="304">
        <v>0</v>
      </c>
      <c r="L30" s="304">
        <v>0</v>
      </c>
      <c r="M30" s="305">
        <v>0</v>
      </c>
      <c r="N30" s="698" t="s">
        <v>1117</v>
      </c>
    </row>
    <row r="31" spans="1:15" s="370" customFormat="1">
      <c r="A31" s="530" t="s">
        <v>235</v>
      </c>
      <c r="B31" s="57" t="s">
        <v>541</v>
      </c>
      <c r="C31" s="597">
        <v>251</v>
      </c>
      <c r="D31" s="45"/>
      <c r="E31" s="258">
        <v>20</v>
      </c>
      <c r="F31" s="350">
        <f t="shared" si="3"/>
        <v>20</v>
      </c>
      <c r="G31" s="304">
        <v>0</v>
      </c>
      <c r="H31" s="304">
        <v>0</v>
      </c>
      <c r="I31" s="304">
        <v>0</v>
      </c>
      <c r="J31" s="304">
        <v>20</v>
      </c>
      <c r="K31" s="304">
        <v>0</v>
      </c>
      <c r="L31" s="304">
        <v>0</v>
      </c>
      <c r="M31" s="305">
        <v>0</v>
      </c>
      <c r="N31" s="609" t="s">
        <v>542</v>
      </c>
    </row>
    <row r="32" spans="1:15" s="347" customFormat="1" ht="58">
      <c r="A32" s="259" t="s">
        <v>242</v>
      </c>
      <c r="B32" s="36"/>
      <c r="C32" s="44">
        <v>252</v>
      </c>
      <c r="D32" s="45"/>
      <c r="E32" s="258">
        <v>236</v>
      </c>
      <c r="F32" s="303">
        <f t="shared" si="3"/>
        <v>236</v>
      </c>
      <c r="G32" s="304">
        <v>0</v>
      </c>
      <c r="H32" s="304">
        <v>0</v>
      </c>
      <c r="I32" s="304">
        <v>0</v>
      </c>
      <c r="J32" s="304">
        <f>201+35</f>
        <v>236</v>
      </c>
      <c r="K32" s="304">
        <f>35-35</f>
        <v>0</v>
      </c>
      <c r="L32" s="304">
        <v>0</v>
      </c>
      <c r="M32" s="305">
        <v>0</v>
      </c>
      <c r="N32" s="318" t="s">
        <v>1118</v>
      </c>
    </row>
    <row r="33" spans="1:14" s="370" customFormat="1">
      <c r="A33" s="259" t="s">
        <v>242</v>
      </c>
      <c r="B33" s="36"/>
      <c r="C33" s="44">
        <v>252</v>
      </c>
      <c r="D33" s="45"/>
      <c r="E33" s="258">
        <v>0</v>
      </c>
      <c r="F33" s="303">
        <f t="shared" si="3"/>
        <v>215</v>
      </c>
      <c r="G33" s="304">
        <v>0</v>
      </c>
      <c r="H33" s="304">
        <v>0</v>
      </c>
      <c r="I33" s="304">
        <v>0</v>
      </c>
      <c r="J33" s="304">
        <v>215</v>
      </c>
      <c r="K33" s="304">
        <v>0</v>
      </c>
      <c r="L33" s="304">
        <v>0</v>
      </c>
      <c r="M33" s="305">
        <v>0</v>
      </c>
      <c r="N33" s="318" t="s">
        <v>1559</v>
      </c>
    </row>
    <row r="34" spans="1:14" s="347" customFormat="1">
      <c r="A34" s="259" t="s">
        <v>318</v>
      </c>
      <c r="B34" s="36"/>
      <c r="C34" s="44">
        <v>252</v>
      </c>
      <c r="D34" s="45"/>
      <c r="E34" s="258">
        <v>0</v>
      </c>
      <c r="F34" s="303">
        <f t="shared" si="3"/>
        <v>0</v>
      </c>
      <c r="G34" s="304">
        <v>0</v>
      </c>
      <c r="H34" s="304">
        <v>0</v>
      </c>
      <c r="I34" s="304">
        <v>0</v>
      </c>
      <c r="J34" s="304">
        <v>0</v>
      </c>
      <c r="K34" s="304">
        <v>0</v>
      </c>
      <c r="L34" s="304">
        <v>0</v>
      </c>
      <c r="M34" s="305">
        <v>0</v>
      </c>
      <c r="N34" s="318"/>
    </row>
    <row r="35" spans="1:14" s="347" customFormat="1">
      <c r="A35" s="259" t="s">
        <v>244</v>
      </c>
      <c r="B35" s="36"/>
      <c r="C35" s="44">
        <v>253</v>
      </c>
      <c r="D35" s="259"/>
      <c r="E35" s="258">
        <v>0</v>
      </c>
      <c r="F35" s="303">
        <f t="shared" si="3"/>
        <v>0</v>
      </c>
      <c r="G35" s="304">
        <v>0</v>
      </c>
      <c r="H35" s="304">
        <v>0</v>
      </c>
      <c r="I35" s="304">
        <v>0</v>
      </c>
      <c r="J35" s="304">
        <v>0</v>
      </c>
      <c r="K35" s="304">
        <v>0</v>
      </c>
      <c r="L35" s="304">
        <v>0</v>
      </c>
      <c r="M35" s="305">
        <v>0</v>
      </c>
      <c r="N35" s="318"/>
    </row>
    <row r="36" spans="1:14" s="347" customFormat="1">
      <c r="A36" s="259" t="s">
        <v>245</v>
      </c>
      <c r="B36" s="36"/>
      <c r="C36" s="44">
        <v>255</v>
      </c>
      <c r="D36" s="259"/>
      <c r="E36" s="258">
        <v>0</v>
      </c>
      <c r="F36" s="303">
        <f t="shared" si="3"/>
        <v>0</v>
      </c>
      <c r="G36" s="304">
        <v>0</v>
      </c>
      <c r="H36" s="304">
        <v>0</v>
      </c>
      <c r="I36" s="304">
        <v>0</v>
      </c>
      <c r="J36" s="304">
        <v>0</v>
      </c>
      <c r="K36" s="304">
        <v>0</v>
      </c>
      <c r="L36" s="304">
        <v>0</v>
      </c>
      <c r="M36" s="305">
        <v>0</v>
      </c>
      <c r="N36" s="318"/>
    </row>
    <row r="37" spans="1:14" s="347" customFormat="1">
      <c r="A37" s="259" t="s">
        <v>246</v>
      </c>
      <c r="B37" s="36"/>
      <c r="C37" s="44">
        <v>256</v>
      </c>
      <c r="D37" s="259"/>
      <c r="E37" s="258">
        <v>0</v>
      </c>
      <c r="F37" s="303">
        <f t="shared" si="3"/>
        <v>0</v>
      </c>
      <c r="G37" s="304">
        <v>0</v>
      </c>
      <c r="H37" s="304">
        <v>0</v>
      </c>
      <c r="I37" s="304">
        <v>0</v>
      </c>
      <c r="J37" s="304">
        <v>0</v>
      </c>
      <c r="K37" s="304">
        <v>0</v>
      </c>
      <c r="L37" s="304">
        <v>0</v>
      </c>
      <c r="M37" s="305">
        <v>0</v>
      </c>
      <c r="N37" s="318"/>
    </row>
    <row r="38" spans="1:14" s="347" customFormat="1">
      <c r="A38" s="259" t="s">
        <v>247</v>
      </c>
      <c r="B38" s="36"/>
      <c r="C38" s="44">
        <v>257</v>
      </c>
      <c r="D38" s="259"/>
      <c r="E38" s="258">
        <v>0</v>
      </c>
      <c r="F38" s="303">
        <f t="shared" si="3"/>
        <v>0</v>
      </c>
      <c r="G38" s="304">
        <v>0</v>
      </c>
      <c r="H38" s="304">
        <v>0</v>
      </c>
      <c r="I38" s="304">
        <v>0</v>
      </c>
      <c r="J38" s="304">
        <v>0</v>
      </c>
      <c r="K38" s="304">
        <v>0</v>
      </c>
      <c r="L38" s="304">
        <v>0</v>
      </c>
      <c r="M38" s="305">
        <v>0</v>
      </c>
      <c r="N38" s="318"/>
    </row>
    <row r="39" spans="1:14" s="347" customFormat="1">
      <c r="A39" s="259" t="s">
        <v>248</v>
      </c>
      <c r="B39" s="36"/>
      <c r="C39" s="44" t="s">
        <v>249</v>
      </c>
      <c r="D39" s="259"/>
      <c r="E39" s="258">
        <v>2</v>
      </c>
      <c r="F39" s="303">
        <f t="shared" si="3"/>
        <v>2</v>
      </c>
      <c r="G39" s="304">
        <v>0</v>
      </c>
      <c r="H39" s="304">
        <v>0</v>
      </c>
      <c r="I39" s="304">
        <v>0</v>
      </c>
      <c r="J39" s="304">
        <v>2</v>
      </c>
      <c r="K39" s="304">
        <v>0</v>
      </c>
      <c r="L39" s="304">
        <v>0</v>
      </c>
      <c r="M39" s="305">
        <v>0</v>
      </c>
      <c r="N39" s="318" t="s">
        <v>543</v>
      </c>
    </row>
    <row r="40" spans="1:14" s="347" customFormat="1">
      <c r="A40" s="260" t="s">
        <v>250</v>
      </c>
      <c r="B40" s="36"/>
      <c r="C40" s="261" t="s">
        <v>251</v>
      </c>
      <c r="D40" s="260"/>
      <c r="E40" s="258">
        <v>0</v>
      </c>
      <c r="F40" s="303">
        <f t="shared" si="3"/>
        <v>0</v>
      </c>
      <c r="G40" s="304">
        <v>0</v>
      </c>
      <c r="H40" s="304">
        <v>0</v>
      </c>
      <c r="I40" s="304">
        <v>0</v>
      </c>
      <c r="J40" s="304">
        <v>0</v>
      </c>
      <c r="K40" s="304">
        <v>0</v>
      </c>
      <c r="L40" s="304">
        <v>0</v>
      </c>
      <c r="M40" s="305">
        <v>0</v>
      </c>
      <c r="N40" s="318"/>
    </row>
    <row r="41" spans="1:14" s="370" customFormat="1" ht="43.5">
      <c r="A41" s="260" t="s">
        <v>252</v>
      </c>
      <c r="B41" s="378"/>
      <c r="C41" s="261" t="s">
        <v>253</v>
      </c>
      <c r="D41" s="260"/>
      <c r="E41" s="311">
        <v>100</v>
      </c>
      <c r="F41" s="303">
        <f t="shared" si="3"/>
        <v>0</v>
      </c>
      <c r="G41" s="312">
        <v>0</v>
      </c>
      <c r="H41" s="312">
        <v>0</v>
      </c>
      <c r="I41" s="312">
        <v>0</v>
      </c>
      <c r="J41" s="312">
        <f>812-1034+222</f>
        <v>0</v>
      </c>
      <c r="K41" s="312">
        <v>0</v>
      </c>
      <c r="L41" s="312">
        <v>0</v>
      </c>
      <c r="M41" s="313">
        <v>0</v>
      </c>
      <c r="N41" s="318" t="s">
        <v>1422</v>
      </c>
    </row>
    <row r="42" spans="1:14">
      <c r="A42" s="40" t="s">
        <v>254</v>
      </c>
      <c r="B42" s="260"/>
      <c r="C42" s="261"/>
      <c r="D42" s="262"/>
      <c r="E42" s="42">
        <f t="shared" ref="E42:M42" si="4">SUM(E24:E41)</f>
        <v>659</v>
      </c>
      <c r="F42" s="43">
        <f t="shared" si="4"/>
        <v>1037</v>
      </c>
      <c r="G42" s="43">
        <f t="shared" si="4"/>
        <v>0</v>
      </c>
      <c r="H42" s="43">
        <f t="shared" si="4"/>
        <v>0</v>
      </c>
      <c r="I42" s="43">
        <f t="shared" si="4"/>
        <v>0</v>
      </c>
      <c r="J42" s="43">
        <f t="shared" si="4"/>
        <v>1037</v>
      </c>
      <c r="K42" s="43">
        <f t="shared" si="4"/>
        <v>0</v>
      </c>
      <c r="L42" s="43">
        <f t="shared" si="4"/>
        <v>0</v>
      </c>
      <c r="M42" s="43">
        <f t="shared" si="4"/>
        <v>0</v>
      </c>
      <c r="N42" s="348"/>
    </row>
    <row r="43" spans="1:14">
      <c r="A43" s="40" t="s">
        <v>255</v>
      </c>
      <c r="B43" s="51"/>
      <c r="C43" s="147"/>
      <c r="D43" s="262"/>
      <c r="E43" s="236">
        <v>0</v>
      </c>
      <c r="F43" s="235"/>
      <c r="G43" s="235"/>
      <c r="H43" s="235"/>
      <c r="I43" s="235"/>
      <c r="J43" s="235">
        <v>0</v>
      </c>
      <c r="K43" s="235"/>
      <c r="L43" s="235"/>
      <c r="M43" s="235"/>
      <c r="N43" s="348"/>
    </row>
    <row r="44" spans="1:14">
      <c r="A44" s="40" t="s">
        <v>256</v>
      </c>
      <c r="B44" s="46"/>
      <c r="C44" s="47"/>
      <c r="D44" s="48">
        <f>D42+D22+D16</f>
        <v>3</v>
      </c>
      <c r="E44" s="42">
        <f t="shared" ref="E44:M44" si="5">E42+E22+E16-E43</f>
        <v>875</v>
      </c>
      <c r="F44" s="42">
        <f t="shared" si="5"/>
        <v>1334</v>
      </c>
      <c r="G44" s="42">
        <f t="shared" si="5"/>
        <v>0</v>
      </c>
      <c r="H44" s="42">
        <f t="shared" si="5"/>
        <v>0</v>
      </c>
      <c r="I44" s="42">
        <f t="shared" si="5"/>
        <v>0</v>
      </c>
      <c r="J44" s="42">
        <f t="shared" si="5"/>
        <v>1334</v>
      </c>
      <c r="K44" s="42">
        <f t="shared" si="5"/>
        <v>0</v>
      </c>
      <c r="L44" s="42">
        <f t="shared" si="5"/>
        <v>0</v>
      </c>
      <c r="M44" s="42">
        <f t="shared" si="5"/>
        <v>0</v>
      </c>
      <c r="N44" s="248"/>
    </row>
    <row r="45" spans="1:14">
      <c r="A45" s="368" t="s">
        <v>299</v>
      </c>
      <c r="B45" s="370"/>
      <c r="C45" s="29"/>
      <c r="D45" s="216"/>
      <c r="E45" s="55">
        <f>+E44-C49</f>
        <v>875</v>
      </c>
      <c r="F45" s="55">
        <f>F44-B47</f>
        <v>1034</v>
      </c>
      <c r="G45" s="370"/>
      <c r="H45" s="370"/>
      <c r="I45" s="370"/>
      <c r="J45" s="370"/>
      <c r="K45" s="370"/>
      <c r="L45" s="370"/>
      <c r="M45" s="370"/>
      <c r="N45" s="370"/>
    </row>
    <row r="46" spans="1:14">
      <c r="A46" s="56" t="s">
        <v>300</v>
      </c>
      <c r="B46" s="639" t="s">
        <v>1012</v>
      </c>
      <c r="C46" s="370" t="s">
        <v>735</v>
      </c>
      <c r="D46" s="370"/>
      <c r="E46" s="370"/>
      <c r="F46" s="370"/>
      <c r="G46" s="370"/>
      <c r="H46" s="370"/>
      <c r="I46" s="370"/>
      <c r="J46" s="370"/>
      <c r="K46" s="370"/>
      <c r="L46" s="370"/>
      <c r="M46" s="370"/>
      <c r="N46" s="370"/>
    </row>
    <row r="47" spans="1:14">
      <c r="A47" s="57" t="s">
        <v>301</v>
      </c>
      <c r="B47" s="58">
        <v>300</v>
      </c>
      <c r="C47" s="58">
        <v>0</v>
      </c>
      <c r="D47" s="370" t="s">
        <v>1423</v>
      </c>
      <c r="E47" s="370"/>
      <c r="F47" s="370"/>
      <c r="G47" s="370"/>
      <c r="H47" s="257"/>
      <c r="I47" s="370"/>
      <c r="J47" s="370"/>
      <c r="K47" s="370"/>
      <c r="L47" s="370"/>
      <c r="M47" s="370"/>
      <c r="N47" s="370"/>
    </row>
    <row r="48" spans="1:14">
      <c r="A48" s="259" t="s">
        <v>302</v>
      </c>
      <c r="B48" s="59">
        <v>0</v>
      </c>
      <c r="C48" s="59">
        <v>0</v>
      </c>
      <c r="D48" s="370"/>
      <c r="E48" s="370"/>
      <c r="F48" s="370"/>
      <c r="G48" s="370"/>
      <c r="H48" s="370"/>
      <c r="I48" s="370"/>
      <c r="J48" s="370"/>
      <c r="K48" s="370"/>
      <c r="L48" s="370"/>
      <c r="M48" s="370"/>
      <c r="N48" s="370"/>
    </row>
    <row r="49" spans="1:14">
      <c r="A49" s="60" t="s">
        <v>495</v>
      </c>
      <c r="B49" s="61">
        <f>B47-B48</f>
        <v>300</v>
      </c>
      <c r="C49" s="61">
        <f>+C47-C48</f>
        <v>0</v>
      </c>
      <c r="D49" s="370" t="s">
        <v>1558</v>
      </c>
      <c r="E49" s="370"/>
      <c r="F49" s="370"/>
      <c r="G49" s="370"/>
      <c r="H49" s="370"/>
      <c r="I49" s="370"/>
      <c r="J49" s="370"/>
      <c r="K49" s="370"/>
      <c r="L49" s="370"/>
      <c r="M49" s="370"/>
      <c r="N49" s="370"/>
    </row>
    <row r="50" spans="1:14">
      <c r="A50" s="56"/>
      <c r="B50" s="370"/>
      <c r="C50" s="639"/>
      <c r="D50" s="370"/>
      <c r="E50" s="370"/>
      <c r="F50" s="370"/>
      <c r="G50" s="370"/>
      <c r="H50" s="370"/>
      <c r="I50" s="370"/>
      <c r="J50" s="370"/>
      <c r="K50" s="370"/>
      <c r="L50" s="370"/>
      <c r="M50" s="370"/>
      <c r="N50" s="370"/>
    </row>
    <row r="51" spans="1:14">
      <c r="B51" s="644"/>
    </row>
    <row r="52" spans="1:14" s="370" customFormat="1" ht="15" thickBot="1">
      <c r="A52" s="31"/>
      <c r="B52" s="31"/>
      <c r="C52" s="32"/>
      <c r="D52" s="31"/>
      <c r="E52" s="31"/>
      <c r="F52" s="31"/>
      <c r="G52" s="31"/>
      <c r="H52" s="31"/>
      <c r="I52" s="31"/>
      <c r="J52" s="31"/>
      <c r="K52" s="31"/>
      <c r="L52" s="31"/>
      <c r="M52" s="31"/>
      <c r="N52" s="536"/>
    </row>
    <row r="53" spans="1:14" s="370" customFormat="1" ht="15.5">
      <c r="A53" s="873" t="s">
        <v>257</v>
      </c>
      <c r="B53" s="874"/>
      <c r="C53" s="874"/>
      <c r="D53" s="874"/>
      <c r="E53" s="874"/>
      <c r="F53" s="874"/>
      <c r="G53" s="550"/>
      <c r="H53" s="31"/>
      <c r="I53" s="31"/>
      <c r="J53" s="31"/>
      <c r="K53" s="31"/>
      <c r="L53" s="31"/>
      <c r="M53" s="31"/>
      <c r="N53" s="536"/>
    </row>
    <row r="54" spans="1:14" s="370" customFormat="1" ht="15.5">
      <c r="A54" s="875"/>
      <c r="B54" s="876"/>
      <c r="C54" s="876"/>
      <c r="D54" s="876"/>
      <c r="E54" s="876"/>
      <c r="F54" s="876"/>
      <c r="G54" s="551"/>
      <c r="H54" s="31"/>
      <c r="I54" s="31"/>
      <c r="J54" s="31"/>
      <c r="K54" s="31"/>
      <c r="L54" s="31"/>
      <c r="M54" s="31"/>
      <c r="N54" s="536"/>
    </row>
    <row r="55" spans="1:14" s="370" customFormat="1">
      <c r="A55" s="877" t="s">
        <v>258</v>
      </c>
      <c r="B55" s="878"/>
      <c r="C55" s="552"/>
      <c r="D55" s="552"/>
      <c r="E55" s="552"/>
      <c r="F55" s="552"/>
      <c r="G55" s="551"/>
      <c r="H55" s="31"/>
      <c r="I55" s="31"/>
      <c r="J55" s="31"/>
      <c r="K55" s="31"/>
      <c r="L55" s="31"/>
      <c r="M55" s="31"/>
      <c r="N55" s="536"/>
    </row>
    <row r="56" spans="1:14" s="370" customFormat="1">
      <c r="A56" s="553" t="s">
        <v>1028</v>
      </c>
      <c r="B56" s="554">
        <f>E44</f>
        <v>875</v>
      </c>
      <c r="C56" s="555"/>
      <c r="D56" s="556"/>
      <c r="E56" s="556"/>
      <c r="F56" s="556"/>
      <c r="G56" s="551"/>
      <c r="H56" s="31"/>
      <c r="I56" s="31"/>
      <c r="J56" s="31"/>
      <c r="K56" s="31"/>
      <c r="L56" s="31"/>
      <c r="M56" s="31"/>
      <c r="N56" s="536"/>
    </row>
    <row r="57" spans="1:14" s="370" customFormat="1">
      <c r="A57" s="557" t="s">
        <v>1029</v>
      </c>
      <c r="B57" s="558">
        <f>F44</f>
        <v>1334</v>
      </c>
      <c r="C57" s="555"/>
      <c r="D57" s="556"/>
      <c r="E57" s="556"/>
      <c r="F57" s="556"/>
      <c r="G57" s="551"/>
      <c r="H57" s="31"/>
      <c r="I57" s="31"/>
      <c r="J57" s="31"/>
      <c r="K57" s="31"/>
      <c r="L57" s="31"/>
      <c r="M57" s="31"/>
      <c r="N57" s="536"/>
    </row>
    <row r="58" spans="1:14" s="370" customFormat="1">
      <c r="A58" s="559" t="s">
        <v>259</v>
      </c>
      <c r="B58" s="560">
        <f>B57-B56</f>
        <v>459</v>
      </c>
      <c r="C58" s="555"/>
      <c r="D58" s="556"/>
      <c r="E58" s="556"/>
      <c r="F58" s="556"/>
      <c r="G58" s="551"/>
      <c r="H58" s="31"/>
      <c r="I58" s="31"/>
      <c r="J58" s="31"/>
      <c r="K58" s="31"/>
      <c r="L58" s="31"/>
      <c r="M58" s="31"/>
      <c r="N58" s="536"/>
    </row>
    <row r="59" spans="1:14" s="370" customFormat="1">
      <c r="A59" s="559" t="s">
        <v>260</v>
      </c>
      <c r="B59" s="561">
        <f>B58/B56</f>
        <v>0.52457142857142858</v>
      </c>
      <c r="C59" s="555"/>
      <c r="D59" s="556"/>
      <c r="E59" s="556"/>
      <c r="F59" s="556"/>
      <c r="G59" s="551"/>
      <c r="H59" s="31"/>
      <c r="I59" s="31"/>
      <c r="J59" s="31"/>
      <c r="K59" s="31"/>
      <c r="L59" s="31"/>
      <c r="M59" s="31"/>
      <c r="N59" s="536"/>
    </row>
    <row r="60" spans="1:14" s="370" customFormat="1">
      <c r="A60" s="562"/>
      <c r="B60" s="556"/>
      <c r="C60" s="660"/>
      <c r="D60" s="556"/>
      <c r="E60" s="556"/>
      <c r="F60" s="556"/>
      <c r="G60" s="551"/>
      <c r="H60" s="31"/>
      <c r="I60" s="31"/>
      <c r="J60" s="31"/>
      <c r="K60" s="31"/>
      <c r="L60" s="31"/>
      <c r="M60" s="31"/>
      <c r="N60" s="536"/>
    </row>
    <row r="61" spans="1:14" s="370" customFormat="1">
      <c r="A61" s="879" t="s">
        <v>261</v>
      </c>
      <c r="B61" s="880"/>
      <c r="C61" s="880"/>
      <c r="D61" s="880"/>
      <c r="E61" s="880"/>
      <c r="F61" s="880"/>
      <c r="G61" s="551"/>
      <c r="H61" s="31"/>
      <c r="I61" s="31"/>
      <c r="J61" s="31"/>
      <c r="K61" s="31"/>
      <c r="L61" s="31"/>
      <c r="M61" s="31"/>
      <c r="N61" s="536"/>
    </row>
    <row r="62" spans="1:14" s="370" customFormat="1" ht="55.5" customHeight="1">
      <c r="A62" s="881" t="s">
        <v>1024</v>
      </c>
      <c r="B62" s="882"/>
      <c r="C62" s="882"/>
      <c r="D62" s="882"/>
      <c r="E62" s="882"/>
      <c r="F62" s="883"/>
      <c r="G62" s="551"/>
      <c r="H62" s="31"/>
      <c r="I62" s="31"/>
      <c r="J62" s="31"/>
      <c r="K62" s="31"/>
      <c r="L62" s="31"/>
      <c r="M62" s="31"/>
      <c r="N62" s="536"/>
    </row>
    <row r="63" spans="1:14" s="370" customFormat="1">
      <c r="A63" s="563"/>
      <c r="B63" s="564"/>
      <c r="C63" s="564"/>
      <c r="D63" s="564"/>
      <c r="E63" s="564"/>
      <c r="F63" s="564"/>
      <c r="G63" s="551"/>
      <c r="H63" s="31"/>
      <c r="I63" s="31"/>
      <c r="J63" s="31"/>
      <c r="K63" s="31"/>
      <c r="L63" s="31"/>
      <c r="M63" s="31"/>
      <c r="N63" s="536"/>
    </row>
    <row r="64" spans="1:14" s="370" customFormat="1">
      <c r="A64" s="565" t="s">
        <v>262</v>
      </c>
      <c r="B64" s="556"/>
      <c r="C64" s="722"/>
      <c r="D64" s="556"/>
      <c r="E64" s="556"/>
      <c r="F64" s="556"/>
      <c r="G64" s="551"/>
      <c r="H64" s="31"/>
      <c r="I64" s="31"/>
      <c r="J64" s="31"/>
      <c r="K64" s="31"/>
      <c r="L64" s="31"/>
      <c r="M64" s="31"/>
      <c r="N64" s="536"/>
    </row>
    <row r="65" spans="1:14" s="370" customFormat="1" ht="75" customHeight="1">
      <c r="A65" s="881" t="s">
        <v>1025</v>
      </c>
      <c r="B65" s="882"/>
      <c r="C65" s="882"/>
      <c r="D65" s="882"/>
      <c r="E65" s="882"/>
      <c r="F65" s="883"/>
      <c r="G65" s="551"/>
      <c r="H65" s="31"/>
      <c r="I65" s="31"/>
      <c r="J65" s="31"/>
      <c r="K65" s="31"/>
      <c r="L65" s="31"/>
      <c r="M65" s="31"/>
      <c r="N65" s="536"/>
    </row>
    <row r="66" spans="1:14" s="370" customFormat="1">
      <c r="A66" s="562"/>
      <c r="B66" s="556"/>
      <c r="C66" s="722"/>
      <c r="D66" s="556"/>
      <c r="E66" s="556"/>
      <c r="F66" s="556"/>
      <c r="G66" s="551"/>
      <c r="H66" s="31"/>
      <c r="I66" s="31"/>
      <c r="J66" s="31"/>
      <c r="K66" s="31"/>
      <c r="L66" s="31"/>
      <c r="M66" s="31"/>
      <c r="N66" s="536"/>
    </row>
    <row r="67" spans="1:14" s="370" customFormat="1">
      <c r="A67" s="879" t="s">
        <v>1020</v>
      </c>
      <c r="B67" s="880"/>
      <c r="C67" s="880"/>
      <c r="D67" s="880"/>
      <c r="E67" s="880"/>
      <c r="F67" s="880"/>
      <c r="G67" s="551"/>
      <c r="H67" s="31"/>
      <c r="I67" s="31"/>
      <c r="J67" s="31"/>
      <c r="K67" s="31"/>
      <c r="L67" s="31"/>
      <c r="M67" s="31"/>
      <c r="N67" s="536"/>
    </row>
    <row r="68" spans="1:14" s="370" customFormat="1">
      <c r="A68" s="898" t="s">
        <v>1021</v>
      </c>
      <c r="B68" s="899"/>
      <c r="C68" s="899"/>
      <c r="D68" s="899"/>
      <c r="E68" s="899"/>
      <c r="F68" s="899"/>
      <c r="G68" s="551"/>
      <c r="H68" s="31"/>
      <c r="I68" s="31"/>
      <c r="J68" s="31"/>
      <c r="K68" s="31"/>
      <c r="L68" s="31"/>
      <c r="M68" s="31"/>
      <c r="N68" s="536"/>
    </row>
    <row r="69" spans="1:14" s="370" customFormat="1" ht="56.5" customHeight="1">
      <c r="A69" s="881" t="s">
        <v>1120</v>
      </c>
      <c r="B69" s="882"/>
      <c r="C69" s="882"/>
      <c r="D69" s="882"/>
      <c r="E69" s="882"/>
      <c r="F69" s="883"/>
      <c r="G69" s="551"/>
      <c r="H69" s="31"/>
      <c r="I69" s="31"/>
      <c r="J69" s="31"/>
      <c r="K69" s="31"/>
      <c r="L69" s="31"/>
      <c r="M69" s="31"/>
      <c r="N69" s="536"/>
    </row>
    <row r="70" spans="1:14" s="370" customFormat="1">
      <c r="A70" s="565"/>
      <c r="B70" s="556"/>
      <c r="C70" s="722"/>
      <c r="D70" s="556"/>
      <c r="E70" s="556"/>
      <c r="F70" s="556"/>
      <c r="G70" s="551"/>
      <c r="H70" s="31"/>
      <c r="I70" s="31"/>
      <c r="J70" s="31"/>
      <c r="K70" s="31"/>
      <c r="L70" s="31"/>
      <c r="M70" s="31"/>
      <c r="N70" s="536"/>
    </row>
    <row r="71" spans="1:14" s="370" customFormat="1">
      <c r="A71" s="879" t="s">
        <v>264</v>
      </c>
      <c r="B71" s="880"/>
      <c r="C71" s="880"/>
      <c r="D71" s="880"/>
      <c r="E71" s="880"/>
      <c r="F71" s="556"/>
      <c r="G71" s="551"/>
      <c r="H71" s="31"/>
      <c r="I71" s="31"/>
      <c r="J71" s="31"/>
      <c r="K71" s="31"/>
      <c r="L71" s="31"/>
      <c r="M71" s="31"/>
      <c r="N71" s="536"/>
    </row>
    <row r="72" spans="1:14" s="370" customFormat="1" ht="30.25" customHeight="1">
      <c r="A72" s="889"/>
      <c r="B72" s="890"/>
      <c r="C72" s="890"/>
      <c r="D72" s="890"/>
      <c r="E72" s="890"/>
      <c r="F72" s="891"/>
      <c r="G72" s="551"/>
      <c r="H72" s="31"/>
      <c r="I72" s="31"/>
      <c r="J72" s="31"/>
      <c r="K72" s="31"/>
      <c r="L72" s="31"/>
      <c r="M72" s="31"/>
      <c r="N72" s="536"/>
    </row>
    <row r="73" spans="1:14" s="370" customFormat="1">
      <c r="A73" s="562"/>
      <c r="B73" s="556"/>
      <c r="C73" s="722"/>
      <c r="D73" s="556"/>
      <c r="E73" s="556"/>
      <c r="F73" s="556"/>
      <c r="G73" s="551"/>
      <c r="H73" s="31"/>
      <c r="I73" s="31"/>
      <c r="J73" s="31"/>
      <c r="K73" s="31"/>
      <c r="L73" s="31"/>
      <c r="M73" s="31"/>
      <c r="N73" s="536"/>
    </row>
    <row r="74" spans="1:14" s="370" customFormat="1">
      <c r="A74" s="565" t="s">
        <v>265</v>
      </c>
      <c r="B74" s="556"/>
      <c r="C74" s="722"/>
      <c r="D74" s="556"/>
      <c r="E74" s="556"/>
      <c r="F74" s="556"/>
      <c r="G74" s="551"/>
      <c r="H74" s="31"/>
      <c r="I74" s="31"/>
      <c r="J74" s="31"/>
      <c r="K74" s="31"/>
      <c r="L74" s="31"/>
      <c r="M74" s="31"/>
      <c r="N74" s="536"/>
    </row>
    <row r="75" spans="1:14" s="370" customFormat="1">
      <c r="A75" s="566" t="s">
        <v>266</v>
      </c>
      <c r="B75" s="556"/>
      <c r="C75" s="722"/>
      <c r="D75" s="556"/>
      <c r="E75" s="556"/>
      <c r="F75" s="556"/>
      <c r="G75" s="551"/>
      <c r="H75" s="31"/>
      <c r="I75" s="31"/>
      <c r="J75" s="31"/>
      <c r="K75" s="31"/>
      <c r="L75" s="31"/>
      <c r="M75" s="31"/>
      <c r="N75" s="536"/>
    </row>
    <row r="76" spans="1:14" s="370" customFormat="1" ht="26.25" customHeight="1">
      <c r="A76" s="892" t="s">
        <v>1030</v>
      </c>
      <c r="B76" s="893"/>
      <c r="C76" s="893"/>
      <c r="D76" s="893"/>
      <c r="E76" s="893"/>
      <c r="F76" s="893"/>
      <c r="G76" s="551"/>
      <c r="H76" s="31"/>
      <c r="I76" s="31"/>
      <c r="J76" s="31"/>
      <c r="K76" s="31"/>
      <c r="L76" s="31"/>
      <c r="M76" s="31"/>
      <c r="N76" s="536"/>
    </row>
    <row r="77" spans="1:14" s="370" customFormat="1" ht="26.25" customHeight="1">
      <c r="A77" s="988" t="s">
        <v>1026</v>
      </c>
      <c r="B77" s="904"/>
      <c r="C77" s="904"/>
      <c r="D77" s="904"/>
      <c r="E77" s="904"/>
      <c r="F77" s="905"/>
      <c r="G77" s="551"/>
      <c r="H77" s="31"/>
      <c r="I77" s="31"/>
      <c r="J77" s="31"/>
      <c r="K77" s="31"/>
      <c r="L77" s="31"/>
      <c r="M77" s="31"/>
      <c r="N77" s="536"/>
    </row>
    <row r="78" spans="1:14" s="370" customFormat="1">
      <c r="A78" s="894"/>
      <c r="B78" s="895"/>
      <c r="C78" s="895"/>
      <c r="D78" s="895"/>
      <c r="E78" s="895"/>
      <c r="F78" s="895"/>
      <c r="G78" s="551"/>
      <c r="H78" s="31"/>
      <c r="I78" s="31"/>
      <c r="J78" s="31"/>
      <c r="K78" s="31"/>
      <c r="L78" s="31"/>
      <c r="M78" s="31"/>
      <c r="N78" s="536"/>
    </row>
    <row r="79" spans="1:14" s="370" customFormat="1">
      <c r="A79" s="566" t="s">
        <v>268</v>
      </c>
      <c r="B79" s="556"/>
      <c r="C79" s="722"/>
      <c r="D79" s="556"/>
      <c r="E79" s="556"/>
      <c r="F79" s="556"/>
      <c r="G79" s="551"/>
      <c r="H79" s="31"/>
      <c r="I79" s="31"/>
      <c r="J79" s="31"/>
      <c r="K79" s="31"/>
      <c r="L79" s="31"/>
      <c r="M79" s="31"/>
      <c r="N79" s="536"/>
    </row>
    <row r="80" spans="1:14" s="370" customFormat="1" ht="28.75" customHeight="1">
      <c r="A80" s="896" t="s">
        <v>269</v>
      </c>
      <c r="B80" s="897"/>
      <c r="C80" s="897"/>
      <c r="D80" s="897"/>
      <c r="E80" s="897"/>
      <c r="F80" s="897"/>
      <c r="G80" s="551"/>
      <c r="H80" s="31"/>
      <c r="I80" s="31"/>
      <c r="J80" s="31"/>
      <c r="K80" s="31"/>
      <c r="L80" s="31"/>
      <c r="M80" s="31"/>
      <c r="N80" s="536"/>
    </row>
    <row r="81" spans="1:14" s="370" customFormat="1" ht="30.75" customHeight="1">
      <c r="A81" s="889" t="s">
        <v>1027</v>
      </c>
      <c r="B81" s="890"/>
      <c r="C81" s="890"/>
      <c r="D81" s="890"/>
      <c r="E81" s="890"/>
      <c r="F81" s="891"/>
      <c r="G81" s="551"/>
      <c r="H81" s="31"/>
      <c r="I81" s="31"/>
      <c r="J81" s="31"/>
      <c r="K81" s="31"/>
      <c r="L81" s="31"/>
      <c r="M81" s="31"/>
      <c r="N81" s="536"/>
    </row>
    <row r="82" spans="1:14" s="370" customFormat="1" ht="15" thickBot="1">
      <c r="A82" s="567"/>
      <c r="B82" s="568"/>
      <c r="C82" s="569"/>
      <c r="D82" s="568"/>
      <c r="E82" s="568"/>
      <c r="F82" s="568"/>
      <c r="G82" s="570"/>
      <c r="H82" s="31"/>
      <c r="I82" s="31"/>
      <c r="J82" s="31"/>
      <c r="K82" s="31"/>
      <c r="L82" s="31"/>
      <c r="M82" s="31"/>
      <c r="N82" s="536"/>
    </row>
    <row r="83" spans="1:14" s="370" customFormat="1">
      <c r="A83" s="31"/>
      <c r="B83" s="31"/>
      <c r="C83" s="32"/>
      <c r="D83" s="31"/>
      <c r="E83" s="31"/>
      <c r="F83" s="31"/>
      <c r="G83" s="31"/>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A85" s="31"/>
      <c r="B85" s="31"/>
      <c r="C85" s="32"/>
      <c r="D85" s="31"/>
      <c r="E85" s="31"/>
      <c r="F85" s="31"/>
      <c r="G85" s="31"/>
      <c r="H85" s="31"/>
      <c r="I85" s="31"/>
      <c r="J85" s="31"/>
      <c r="K85" s="31"/>
      <c r="L85" s="31"/>
      <c r="M85" s="31"/>
      <c r="N85" s="536"/>
    </row>
    <row r="86" spans="1:14" s="370" customFormat="1">
      <c r="A86" s="31"/>
      <c r="B86" s="31"/>
      <c r="C86" s="32"/>
      <c r="D86" s="31"/>
      <c r="E86" s="31"/>
      <c r="F86" s="31"/>
      <c r="G86" s="31"/>
      <c r="H86" s="31"/>
      <c r="I86" s="31"/>
      <c r="J86" s="31"/>
      <c r="K86" s="31"/>
      <c r="L86" s="31"/>
      <c r="M86" s="31"/>
      <c r="N86" s="536"/>
    </row>
    <row r="87" spans="1:14" s="370" customFormat="1">
      <c r="A87" s="31"/>
      <c r="B87" s="31"/>
      <c r="C87" s="32"/>
      <c r="D87" s="31"/>
      <c r="E87" s="31"/>
      <c r="F87" s="31"/>
      <c r="G87" s="31"/>
      <c r="H87" s="31"/>
      <c r="I87" s="31"/>
      <c r="J87" s="31"/>
      <c r="K87" s="31"/>
      <c r="L87" s="31"/>
      <c r="M87" s="31"/>
      <c r="N87" s="536"/>
    </row>
    <row r="88" spans="1:14" s="370" customFormat="1">
      <c r="A88" s="31"/>
      <c r="B88" s="31"/>
      <c r="C88" s="32"/>
      <c r="D88" s="31"/>
      <c r="E88" s="31"/>
      <c r="F88" s="31"/>
      <c r="G88" s="31"/>
      <c r="H88" s="31"/>
      <c r="I88" s="31"/>
      <c r="J88" s="31"/>
      <c r="K88" s="31"/>
      <c r="L88" s="31"/>
      <c r="M88" s="31"/>
      <c r="N88" s="536"/>
    </row>
    <row r="89" spans="1:14" s="370" customFormat="1">
      <c r="A89" s="31"/>
      <c r="B89" s="31"/>
      <c r="C89" s="32"/>
      <c r="D89" s="31"/>
      <c r="E89" s="31"/>
      <c r="F89" s="31"/>
      <c r="G89" s="31"/>
      <c r="H89" s="31"/>
      <c r="I89" s="31"/>
      <c r="J89" s="31"/>
      <c r="K89" s="31"/>
      <c r="L89" s="31"/>
      <c r="M89" s="31"/>
      <c r="N89" s="536"/>
    </row>
    <row r="90" spans="1:14" s="370" customFormat="1">
      <c r="A90" s="31"/>
      <c r="B90" s="31"/>
      <c r="C90" s="32"/>
      <c r="D90" s="31"/>
      <c r="E90" s="31"/>
      <c r="F90" s="31"/>
      <c r="G90" s="31"/>
      <c r="H90" s="31"/>
      <c r="I90" s="31"/>
      <c r="J90" s="31"/>
      <c r="K90" s="31"/>
      <c r="L90" s="31"/>
      <c r="M90" s="31"/>
      <c r="N90" s="536"/>
    </row>
    <row r="91" spans="1:14" s="370" customFormat="1">
      <c r="A91" s="31"/>
      <c r="B91" s="31"/>
      <c r="C91" s="32"/>
      <c r="D91" s="31"/>
      <c r="E91" s="31"/>
      <c r="F91" s="31"/>
      <c r="G91" s="31"/>
      <c r="H91" s="31"/>
      <c r="I91" s="31"/>
      <c r="J91" s="31"/>
      <c r="K91" s="31"/>
      <c r="L91" s="31"/>
      <c r="M91" s="31"/>
      <c r="N91" s="536"/>
    </row>
    <row r="92" spans="1:14" s="370" customFormat="1">
      <c r="A92" s="31"/>
      <c r="B92" s="31"/>
      <c r="C92" s="32"/>
      <c r="D92" s="31"/>
      <c r="E92" s="31"/>
      <c r="F92" s="31"/>
      <c r="G92" s="31"/>
      <c r="H92" s="31"/>
      <c r="I92" s="31"/>
      <c r="J92" s="31"/>
      <c r="K92" s="31"/>
      <c r="L92" s="31"/>
      <c r="M92" s="31"/>
      <c r="N92" s="536"/>
    </row>
    <row r="93" spans="1:14" s="370" customFormat="1">
      <c r="A93" s="31"/>
      <c r="B93" s="31"/>
      <c r="C93" s="32"/>
      <c r="D93" s="31"/>
      <c r="E93" s="31"/>
      <c r="F93" s="31"/>
      <c r="G93" s="31"/>
      <c r="H93" s="31"/>
      <c r="I93" s="31"/>
      <c r="J93" s="31"/>
      <c r="K93" s="31"/>
      <c r="L93" s="31"/>
      <c r="M93" s="31"/>
      <c r="N93" s="536"/>
    </row>
    <row r="94" spans="1:14" s="370" customFormat="1">
      <c r="A94" s="31"/>
      <c r="B94" s="31"/>
      <c r="C94" s="32"/>
      <c r="D94" s="31"/>
      <c r="E94" s="31"/>
      <c r="F94" s="31"/>
      <c r="G94" s="31"/>
      <c r="H94" s="31"/>
      <c r="I94" s="31"/>
      <c r="J94" s="31"/>
      <c r="K94" s="31"/>
      <c r="L94" s="31"/>
      <c r="M94" s="31"/>
      <c r="N94" s="536"/>
    </row>
    <row r="95" spans="1:14" s="370" customFormat="1">
      <c r="A95" s="31"/>
      <c r="B95" s="31"/>
      <c r="C95" s="32"/>
      <c r="D95" s="31"/>
      <c r="E95" s="31"/>
      <c r="F95" s="31"/>
      <c r="G95" s="31"/>
      <c r="H95" s="31"/>
      <c r="I95" s="31"/>
      <c r="J95" s="31"/>
      <c r="K95" s="31"/>
      <c r="L95" s="31"/>
      <c r="M95" s="31"/>
      <c r="N95" s="536"/>
    </row>
    <row r="96" spans="1:14" s="370" customFormat="1">
      <c r="A96" s="31"/>
      <c r="B96" s="31"/>
      <c r="C96" s="32"/>
      <c r="D96" s="31"/>
      <c r="E96" s="31"/>
      <c r="F96" s="31"/>
      <c r="G96" s="31"/>
      <c r="H96" s="31"/>
      <c r="I96" s="31"/>
      <c r="J96" s="31"/>
      <c r="K96" s="31"/>
      <c r="L96" s="31"/>
      <c r="M96" s="31"/>
      <c r="N96" s="536"/>
    </row>
    <row r="97" spans="1:14" s="370" customFormat="1">
      <c r="A97" s="31"/>
      <c r="B97" s="31"/>
      <c r="C97" s="32"/>
      <c r="D97" s="31"/>
      <c r="E97" s="31"/>
      <c r="F97" s="31"/>
      <c r="G97" s="31"/>
      <c r="H97" s="31"/>
      <c r="I97" s="31"/>
      <c r="J97" s="31"/>
      <c r="K97" s="31"/>
      <c r="L97" s="31"/>
      <c r="M97" s="31"/>
      <c r="N97" s="536"/>
    </row>
    <row r="98" spans="1:14" s="370" customFormat="1">
      <c r="A98" s="31"/>
      <c r="B98" s="31"/>
      <c r="C98" s="32"/>
      <c r="D98" s="31"/>
      <c r="E98" s="31"/>
      <c r="F98" s="31"/>
      <c r="G98" s="31"/>
      <c r="H98" s="31"/>
      <c r="I98" s="31"/>
      <c r="J98" s="31"/>
      <c r="K98" s="31"/>
      <c r="L98" s="31"/>
      <c r="M98" s="31"/>
      <c r="N98" s="536"/>
    </row>
    <row r="99" spans="1:14" s="370" customFormat="1">
      <c r="A99" s="31"/>
      <c r="B99" s="31"/>
      <c r="C99" s="32"/>
      <c r="D99" s="31"/>
      <c r="E99" s="31"/>
      <c r="F99" s="31"/>
      <c r="G99" s="31"/>
      <c r="H99" s="31"/>
      <c r="I99" s="31"/>
      <c r="J99" s="31"/>
      <c r="K99" s="31"/>
      <c r="L99" s="31"/>
      <c r="M99" s="31"/>
      <c r="N99" s="536"/>
    </row>
  </sheetData>
  <mergeCells count="17">
    <mergeCell ref="A80:F80"/>
    <mergeCell ref="A81:F81"/>
    <mergeCell ref="A71:E71"/>
    <mergeCell ref="A72:F72"/>
    <mergeCell ref="A76:F76"/>
    <mergeCell ref="A77:F77"/>
    <mergeCell ref="A78:F78"/>
    <mergeCell ref="A62:F62"/>
    <mergeCell ref="A65:F65"/>
    <mergeCell ref="A67:F67"/>
    <mergeCell ref="A68:F68"/>
    <mergeCell ref="A69:F69"/>
    <mergeCell ref="A1:N1"/>
    <mergeCell ref="A53:F53"/>
    <mergeCell ref="A54:F54"/>
    <mergeCell ref="A55:B55"/>
    <mergeCell ref="A61:F61"/>
  </mergeCells>
  <printOptions horizontalCentered="1"/>
  <pageMargins left="0.2" right="0.2" top="0.75" bottom="0.75" header="0.3" footer="0.3"/>
  <pageSetup scale="64" fitToHeight="0" orientation="landscape" r:id="rId1"/>
  <headerFooter>
    <oddHeader xml:space="preserve">&amp;CDRAFT NOT FOR DISTRIBUTION, INTERNAL USE ONLY
</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2" tint="-0.249977111117893"/>
    <pageSetUpPr fitToPage="1"/>
  </sheetPr>
  <dimension ref="A1:N94"/>
  <sheetViews>
    <sheetView zoomScaleNormal="100" workbookViewId="0">
      <selection sqref="A1:N1"/>
    </sheetView>
  </sheetViews>
  <sheetFormatPr defaultColWidth="8.81640625" defaultRowHeight="14.5"/>
  <cols>
    <col min="1" max="1" width="39.54296875" style="149" customWidth="1"/>
    <col min="2" max="2" width="16" style="149" customWidth="1"/>
    <col min="3" max="3" width="8.54296875" style="150" customWidth="1"/>
    <col min="4" max="4" width="12.1796875" style="149" customWidth="1"/>
    <col min="5" max="5" width="10.7265625" style="149" customWidth="1"/>
    <col min="6" max="6" width="11" style="149" customWidth="1"/>
    <col min="7" max="7" width="9.54296875" style="149" customWidth="1"/>
    <col min="8" max="8" width="8.453125" style="149" customWidth="1"/>
    <col min="9" max="10" width="7.1796875" style="149" customWidth="1"/>
    <col min="11" max="11" width="7.7265625" style="149" customWidth="1"/>
    <col min="12" max="12" width="9.7265625" style="149" customWidth="1"/>
    <col min="13" max="13" width="9.1796875" style="149" customWidth="1"/>
    <col min="14" max="14" width="38.7265625" style="149" bestFit="1" customWidth="1"/>
    <col min="15" max="16384" width="8.81640625" style="149"/>
  </cols>
  <sheetData>
    <row r="1" spans="1:14" ht="15.5">
      <c r="A1" s="854" t="s">
        <v>165</v>
      </c>
      <c r="B1" s="854"/>
      <c r="C1" s="854"/>
      <c r="D1" s="854"/>
      <c r="E1" s="854"/>
      <c r="F1" s="854"/>
      <c r="G1" s="854"/>
      <c r="H1" s="854"/>
      <c r="I1" s="854"/>
      <c r="J1" s="854"/>
      <c r="K1" s="854"/>
      <c r="L1" s="854"/>
      <c r="M1" s="854"/>
      <c r="N1" s="854"/>
    </row>
    <row r="2" spans="1:14">
      <c r="A2" s="702" t="s">
        <v>544</v>
      </c>
      <c r="B2" s="370"/>
      <c r="C2" s="639"/>
      <c r="D2" s="370"/>
      <c r="E2" s="370"/>
      <c r="F2" s="370"/>
      <c r="G2" s="370"/>
      <c r="H2" s="370"/>
      <c r="I2" s="370"/>
      <c r="J2" s="370"/>
      <c r="K2" s="370"/>
      <c r="L2" s="370"/>
      <c r="M2" s="370"/>
      <c r="N2" s="370"/>
    </row>
    <row r="3" spans="1:14" ht="26">
      <c r="A3" s="506" t="s">
        <v>890</v>
      </c>
      <c r="B3" s="370"/>
      <c r="C3" s="639"/>
      <c r="D3" s="370"/>
      <c r="E3" s="370"/>
      <c r="F3" s="451" t="s">
        <v>1035</v>
      </c>
      <c r="G3" s="370"/>
      <c r="H3" s="370"/>
      <c r="I3" s="370"/>
      <c r="J3" s="370"/>
      <c r="K3" s="370"/>
      <c r="L3" s="370"/>
      <c r="M3" s="370"/>
      <c r="N3" s="370"/>
    </row>
    <row r="4" spans="1:14" s="370" customFormat="1" ht="26">
      <c r="A4" s="506" t="s">
        <v>1376</v>
      </c>
      <c r="C4" s="639"/>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s="279" customFormat="1">
      <c r="A7" s="36" t="s">
        <v>545</v>
      </c>
      <c r="B7" s="36" t="s">
        <v>546</v>
      </c>
      <c r="C7" s="37" t="s">
        <v>218</v>
      </c>
      <c r="D7" s="297">
        <v>0.8</v>
      </c>
      <c r="E7" s="258">
        <v>172</v>
      </c>
      <c r="F7" s="303">
        <f>SUM(G7:L7)</f>
        <v>155</v>
      </c>
      <c r="G7" s="304">
        <v>0</v>
      </c>
      <c r="H7" s="304">
        <v>0</v>
      </c>
      <c r="I7" s="304">
        <v>0</v>
      </c>
      <c r="J7" s="304">
        <v>0</v>
      </c>
      <c r="K7" s="304">
        <v>155</v>
      </c>
      <c r="L7" s="304">
        <v>0</v>
      </c>
      <c r="M7" s="305">
        <v>0</v>
      </c>
      <c r="N7" s="367" t="s">
        <v>1327</v>
      </c>
    </row>
    <row r="8" spans="1:14" s="279" customFormat="1" ht="45" customHeight="1">
      <c r="A8" s="36" t="s">
        <v>1031</v>
      </c>
      <c r="B8" s="36" t="s">
        <v>943</v>
      </c>
      <c r="C8" s="37" t="s">
        <v>218</v>
      </c>
      <c r="D8" s="298">
        <v>0.15</v>
      </c>
      <c r="E8" s="258">
        <v>27</v>
      </c>
      <c r="F8" s="303">
        <f>SUM(G8:L8)</f>
        <v>25</v>
      </c>
      <c r="G8" s="304">
        <v>0</v>
      </c>
      <c r="H8" s="304">
        <v>0</v>
      </c>
      <c r="I8" s="304">
        <v>0</v>
      </c>
      <c r="J8" s="304">
        <v>0</v>
      </c>
      <c r="K8" s="304">
        <v>25</v>
      </c>
      <c r="L8" s="304">
        <v>0</v>
      </c>
      <c r="M8" s="305">
        <v>0</v>
      </c>
      <c r="N8" s="318" t="s">
        <v>1260</v>
      </c>
    </row>
    <row r="9" spans="1:14" s="279" customFormat="1">
      <c r="A9" s="36" t="s">
        <v>217</v>
      </c>
      <c r="B9" s="259"/>
      <c r="C9" s="37" t="s">
        <v>218</v>
      </c>
      <c r="D9" s="298"/>
      <c r="E9" s="258">
        <v>0</v>
      </c>
      <c r="F9" s="303">
        <f>SUM(G9:L9)</f>
        <v>0</v>
      </c>
      <c r="G9" s="304">
        <v>0</v>
      </c>
      <c r="H9" s="304">
        <v>0</v>
      </c>
      <c r="I9" s="304">
        <v>0</v>
      </c>
      <c r="J9" s="304">
        <v>0</v>
      </c>
      <c r="K9" s="304">
        <v>0</v>
      </c>
      <c r="L9" s="304">
        <v>0</v>
      </c>
      <c r="M9" s="305">
        <v>0</v>
      </c>
      <c r="N9" s="320"/>
    </row>
    <row r="10" spans="1:14" ht="15" customHeight="1">
      <c r="A10" s="36" t="s">
        <v>217</v>
      </c>
      <c r="B10" s="36"/>
      <c r="C10" s="37" t="s">
        <v>218</v>
      </c>
      <c r="D10" s="39"/>
      <c r="E10" s="258">
        <v>0</v>
      </c>
      <c r="F10" s="303">
        <f>SUM(G10:M10)</f>
        <v>0</v>
      </c>
      <c r="G10" s="304">
        <v>0</v>
      </c>
      <c r="H10" s="304">
        <v>0</v>
      </c>
      <c r="I10" s="304">
        <v>0</v>
      </c>
      <c r="J10" s="304">
        <v>0</v>
      </c>
      <c r="K10" s="304">
        <v>0</v>
      </c>
      <c r="L10" s="304">
        <v>0</v>
      </c>
      <c r="M10" s="305">
        <v>0</v>
      </c>
      <c r="N10" s="348"/>
    </row>
    <row r="11" spans="1:14" ht="15" customHeight="1">
      <c r="A11" s="36" t="s">
        <v>217</v>
      </c>
      <c r="B11" s="259"/>
      <c r="C11" s="37" t="s">
        <v>218</v>
      </c>
      <c r="D11" s="39"/>
      <c r="E11" s="258">
        <v>0</v>
      </c>
      <c r="F11" s="303">
        <f>SUM(G11:M11)</f>
        <v>0</v>
      </c>
      <c r="G11" s="304">
        <v>0</v>
      </c>
      <c r="H11" s="304">
        <v>0</v>
      </c>
      <c r="I11" s="304">
        <v>0</v>
      </c>
      <c r="J11" s="304">
        <v>0</v>
      </c>
      <c r="K11" s="304">
        <v>0</v>
      </c>
      <c r="L11" s="304">
        <v>0</v>
      </c>
      <c r="M11" s="305">
        <v>0</v>
      </c>
      <c r="N11" s="348"/>
    </row>
    <row r="12" spans="1:14">
      <c r="A12" s="36" t="s">
        <v>217</v>
      </c>
      <c r="B12" s="259"/>
      <c r="C12" s="37" t="s">
        <v>218</v>
      </c>
      <c r="D12" s="39"/>
      <c r="E12" s="258">
        <v>0</v>
      </c>
      <c r="F12" s="303">
        <f>SUM(G12:M12)</f>
        <v>0</v>
      </c>
      <c r="G12" s="304">
        <v>0</v>
      </c>
      <c r="H12" s="304">
        <v>0</v>
      </c>
      <c r="I12" s="304">
        <v>0</v>
      </c>
      <c r="J12" s="304">
        <v>0</v>
      </c>
      <c r="K12" s="304">
        <v>0</v>
      </c>
      <c r="L12" s="304">
        <v>0</v>
      </c>
      <c r="M12" s="305">
        <v>0</v>
      </c>
      <c r="N12" s="348"/>
    </row>
    <row r="13" spans="1:14">
      <c r="A13" s="36" t="s">
        <v>217</v>
      </c>
      <c r="B13" s="259"/>
      <c r="C13" s="37" t="s">
        <v>218</v>
      </c>
      <c r="D13" s="39"/>
      <c r="E13" s="258">
        <v>0</v>
      </c>
      <c r="F13" s="303">
        <f>SUM(G13:M13)</f>
        <v>0</v>
      </c>
      <c r="G13" s="304">
        <v>0</v>
      </c>
      <c r="H13" s="304">
        <v>0</v>
      </c>
      <c r="I13" s="304">
        <v>0</v>
      </c>
      <c r="J13" s="304">
        <v>0</v>
      </c>
      <c r="K13" s="304">
        <v>0</v>
      </c>
      <c r="L13" s="304">
        <v>0</v>
      </c>
      <c r="M13" s="305">
        <v>0</v>
      </c>
      <c r="N13" s="348"/>
    </row>
    <row r="14" spans="1:14">
      <c r="A14" s="36" t="s">
        <v>217</v>
      </c>
      <c r="B14" s="260"/>
      <c r="C14" s="37" t="s">
        <v>218</v>
      </c>
      <c r="D14" s="39"/>
      <c r="E14" s="258">
        <v>0</v>
      </c>
      <c r="F14" s="303">
        <f>SUM(G14:M14)</f>
        <v>0</v>
      </c>
      <c r="G14" s="304">
        <v>0</v>
      </c>
      <c r="H14" s="304">
        <v>0</v>
      </c>
      <c r="I14" s="304">
        <v>0</v>
      </c>
      <c r="J14" s="304">
        <v>0</v>
      </c>
      <c r="K14" s="304">
        <v>0</v>
      </c>
      <c r="L14" s="304">
        <v>0</v>
      </c>
      <c r="M14" s="305">
        <v>0</v>
      </c>
      <c r="N14" s="348"/>
    </row>
    <row r="15" spans="1:14">
      <c r="A15" s="40" t="s">
        <v>219</v>
      </c>
      <c r="B15" s="260"/>
      <c r="C15" s="261"/>
      <c r="D15" s="41">
        <f t="shared" ref="D15:M15" si="0">SUM(D7:D14)</f>
        <v>0.95000000000000007</v>
      </c>
      <c r="E15" s="42">
        <f t="shared" si="0"/>
        <v>199</v>
      </c>
      <c r="F15" s="43">
        <f t="shared" si="0"/>
        <v>180</v>
      </c>
      <c r="G15" s="43">
        <f t="shared" si="0"/>
        <v>0</v>
      </c>
      <c r="H15" s="43">
        <f t="shared" si="0"/>
        <v>0</v>
      </c>
      <c r="I15" s="43">
        <f t="shared" si="0"/>
        <v>0</v>
      </c>
      <c r="J15" s="43">
        <f t="shared" si="0"/>
        <v>0</v>
      </c>
      <c r="K15" s="43">
        <f t="shared" si="0"/>
        <v>180</v>
      </c>
      <c r="L15" s="43">
        <f t="shared" si="0"/>
        <v>0</v>
      </c>
      <c r="M15" s="43">
        <f t="shared" si="0"/>
        <v>0</v>
      </c>
      <c r="N15" s="348"/>
    </row>
    <row r="16" spans="1:14">
      <c r="A16" s="67" t="s">
        <v>220</v>
      </c>
      <c r="B16" s="68"/>
      <c r="C16" s="69"/>
      <c r="D16" s="68"/>
      <c r="E16" s="68"/>
      <c r="F16" s="70"/>
      <c r="G16" s="70"/>
      <c r="H16" s="70"/>
      <c r="I16" s="70"/>
      <c r="J16" s="70"/>
      <c r="K16" s="70"/>
      <c r="L16" s="70"/>
      <c r="M16" s="70"/>
      <c r="N16" s="70"/>
    </row>
    <row r="17" spans="1:14" ht="43.5">
      <c r="A17" s="259" t="s">
        <v>891</v>
      </c>
      <c r="B17" s="259" t="s">
        <v>892</v>
      </c>
      <c r="C17" s="44">
        <v>253</v>
      </c>
      <c r="D17" s="45"/>
      <c r="E17" s="258">
        <v>50</v>
      </c>
      <c r="F17" s="303">
        <f t="shared" ref="F17:F21" si="1">SUM(G17:M17)</f>
        <v>97</v>
      </c>
      <c r="G17" s="304">
        <v>0</v>
      </c>
      <c r="H17" s="304">
        <v>0</v>
      </c>
      <c r="I17" s="304">
        <v>0</v>
      </c>
      <c r="J17" s="304">
        <v>0</v>
      </c>
      <c r="K17" s="304">
        <f>50+47</f>
        <v>97</v>
      </c>
      <c r="L17" s="304">
        <v>0</v>
      </c>
      <c r="M17" s="305">
        <v>0</v>
      </c>
      <c r="N17" s="367" t="s">
        <v>1399</v>
      </c>
    </row>
    <row r="18" spans="1:14">
      <c r="A18" s="259" t="s">
        <v>1255</v>
      </c>
      <c r="B18" s="259" t="s">
        <v>1256</v>
      </c>
      <c r="C18" s="44">
        <v>253</v>
      </c>
      <c r="D18" s="45"/>
      <c r="E18" s="258">
        <v>0</v>
      </c>
      <c r="F18" s="303">
        <f t="shared" si="1"/>
        <v>1</v>
      </c>
      <c r="G18" s="304">
        <v>0</v>
      </c>
      <c r="H18" s="304">
        <v>0</v>
      </c>
      <c r="I18" s="304">
        <v>0</v>
      </c>
      <c r="J18" s="304">
        <v>0</v>
      </c>
      <c r="K18" s="304">
        <v>1</v>
      </c>
      <c r="L18" s="304">
        <v>0</v>
      </c>
      <c r="M18" s="305">
        <v>0</v>
      </c>
      <c r="N18" s="319" t="s">
        <v>1257</v>
      </c>
    </row>
    <row r="19" spans="1:14">
      <c r="A19" s="259" t="s">
        <v>278</v>
      </c>
      <c r="B19" s="259"/>
      <c r="C19" s="44">
        <v>253</v>
      </c>
      <c r="D19" s="262"/>
      <c r="E19" s="258">
        <v>0</v>
      </c>
      <c r="F19" s="303">
        <f t="shared" si="1"/>
        <v>0</v>
      </c>
      <c r="G19" s="304">
        <v>0</v>
      </c>
      <c r="H19" s="304">
        <v>0</v>
      </c>
      <c r="I19" s="304">
        <v>0</v>
      </c>
      <c r="J19" s="304">
        <v>0</v>
      </c>
      <c r="K19" s="304">
        <v>0</v>
      </c>
      <c r="L19" s="304">
        <v>0</v>
      </c>
      <c r="M19" s="305">
        <v>0</v>
      </c>
      <c r="N19" s="348"/>
    </row>
    <row r="20" spans="1:14" s="7" customFormat="1">
      <c r="A20" s="259" t="s">
        <v>278</v>
      </c>
      <c r="B20" s="259"/>
      <c r="C20" s="44">
        <v>253</v>
      </c>
      <c r="D20" s="262"/>
      <c r="E20" s="258">
        <v>0</v>
      </c>
      <c r="F20" s="303">
        <f t="shared" si="1"/>
        <v>0</v>
      </c>
      <c r="G20" s="304">
        <v>0</v>
      </c>
      <c r="H20" s="304">
        <v>0</v>
      </c>
      <c r="I20" s="304">
        <v>0</v>
      </c>
      <c r="J20" s="304">
        <v>0</v>
      </c>
      <c r="K20" s="304">
        <v>0</v>
      </c>
      <c r="L20" s="304">
        <v>0</v>
      </c>
      <c r="M20" s="305">
        <v>0</v>
      </c>
      <c r="N20" s="319"/>
    </row>
    <row r="21" spans="1:14">
      <c r="A21" s="40" t="s">
        <v>225</v>
      </c>
      <c r="B21" s="260"/>
      <c r="C21" s="261"/>
      <c r="D21" s="262">
        <f>SUM(D17:D20)</f>
        <v>0</v>
      </c>
      <c r="E21" s="42">
        <f>SUM(E17:E20)</f>
        <v>50</v>
      </c>
      <c r="F21" s="303">
        <f t="shared" si="1"/>
        <v>98</v>
      </c>
      <c r="G21" s="43">
        <f t="shared" ref="G21:M21" si="2">SUM(G17:G20)</f>
        <v>0</v>
      </c>
      <c r="H21" s="43">
        <f t="shared" si="2"/>
        <v>0</v>
      </c>
      <c r="I21" s="43">
        <f t="shared" si="2"/>
        <v>0</v>
      </c>
      <c r="J21" s="43">
        <f t="shared" si="2"/>
        <v>0</v>
      </c>
      <c r="K21" s="43">
        <f t="shared" si="2"/>
        <v>98</v>
      </c>
      <c r="L21" s="43">
        <f t="shared" si="2"/>
        <v>0</v>
      </c>
      <c r="M21" s="43">
        <f t="shared" si="2"/>
        <v>0</v>
      </c>
      <c r="N21" s="348"/>
    </row>
    <row r="22" spans="1:14" s="7" customFormat="1">
      <c r="A22" s="125" t="s">
        <v>226</v>
      </c>
      <c r="B22" s="126"/>
      <c r="C22" s="126"/>
      <c r="D22" s="126"/>
      <c r="E22" s="87"/>
      <c r="F22" s="87"/>
      <c r="G22" s="87"/>
      <c r="H22" s="87"/>
      <c r="I22" s="87"/>
      <c r="J22" s="87"/>
      <c r="K22" s="87"/>
      <c r="L22" s="87"/>
      <c r="M22" s="87"/>
      <c r="N22" s="128"/>
    </row>
    <row r="23" spans="1:14" s="370" customFormat="1" ht="29">
      <c r="A23" s="259" t="s">
        <v>227</v>
      </c>
      <c r="B23" s="36"/>
      <c r="C23" s="37" t="s">
        <v>228</v>
      </c>
      <c r="D23" s="38">
        <v>0</v>
      </c>
      <c r="E23" s="258">
        <v>21</v>
      </c>
      <c r="F23" s="303">
        <f t="shared" ref="F23:F40" si="3">SUM(G23:M23)</f>
        <v>21</v>
      </c>
      <c r="G23" s="304">
        <v>0</v>
      </c>
      <c r="H23" s="304">
        <v>0</v>
      </c>
      <c r="I23" s="304">
        <v>0</v>
      </c>
      <c r="J23" s="304">
        <v>0</v>
      </c>
      <c r="K23" s="304">
        <v>21</v>
      </c>
      <c r="L23" s="304">
        <v>0</v>
      </c>
      <c r="M23" s="305">
        <v>0</v>
      </c>
      <c r="N23" s="320" t="s">
        <v>547</v>
      </c>
    </row>
    <row r="24" spans="1:14" s="370" customFormat="1">
      <c r="A24" s="259" t="s">
        <v>229</v>
      </c>
      <c r="B24" s="36"/>
      <c r="C24" s="44" t="s">
        <v>230</v>
      </c>
      <c r="D24" s="45"/>
      <c r="E24" s="258">
        <v>0</v>
      </c>
      <c r="F24" s="303">
        <f t="shared" si="3"/>
        <v>0</v>
      </c>
      <c r="G24" s="304">
        <v>0</v>
      </c>
      <c r="H24" s="304">
        <v>0</v>
      </c>
      <c r="I24" s="304">
        <v>0</v>
      </c>
      <c r="J24" s="304">
        <v>0</v>
      </c>
      <c r="K24" s="304">
        <v>0</v>
      </c>
      <c r="L24" s="304">
        <v>0</v>
      </c>
      <c r="M24" s="305">
        <v>0</v>
      </c>
      <c r="N24" s="348"/>
    </row>
    <row r="25" spans="1:14" s="370" customFormat="1">
      <c r="A25" s="259" t="s">
        <v>231</v>
      </c>
      <c r="B25" s="36"/>
      <c r="C25" s="44" t="s">
        <v>232</v>
      </c>
      <c r="D25" s="45"/>
      <c r="E25" s="258">
        <v>0</v>
      </c>
      <c r="F25" s="303">
        <f t="shared" si="3"/>
        <v>0</v>
      </c>
      <c r="G25" s="304">
        <v>0</v>
      </c>
      <c r="H25" s="304">
        <v>0</v>
      </c>
      <c r="I25" s="304">
        <v>0</v>
      </c>
      <c r="J25" s="304">
        <v>0</v>
      </c>
      <c r="K25" s="304">
        <v>0</v>
      </c>
      <c r="L25" s="304">
        <v>0</v>
      </c>
      <c r="M25" s="305">
        <v>0</v>
      </c>
      <c r="N25" s="348"/>
    </row>
    <row r="26" spans="1:14" s="370" customFormat="1">
      <c r="A26" s="259" t="s">
        <v>233</v>
      </c>
      <c r="B26" s="36"/>
      <c r="C26" s="44" t="s">
        <v>234</v>
      </c>
      <c r="D26" s="45"/>
      <c r="E26" s="258">
        <v>0</v>
      </c>
      <c r="F26" s="303">
        <f t="shared" si="3"/>
        <v>0</v>
      </c>
      <c r="G26" s="304">
        <v>0</v>
      </c>
      <c r="H26" s="304">
        <v>0</v>
      </c>
      <c r="I26" s="304">
        <v>0</v>
      </c>
      <c r="J26" s="304">
        <v>0</v>
      </c>
      <c r="K26" s="304">
        <v>0</v>
      </c>
      <c r="L26" s="304">
        <v>0</v>
      </c>
      <c r="M26" s="305">
        <v>0</v>
      </c>
      <c r="N26" s="348"/>
    </row>
    <row r="27" spans="1:14" s="370" customFormat="1">
      <c r="A27" s="259" t="s">
        <v>235</v>
      </c>
      <c r="B27" s="36"/>
      <c r="C27" s="44">
        <v>251</v>
      </c>
      <c r="D27" s="45"/>
      <c r="E27" s="258">
        <v>0</v>
      </c>
      <c r="F27" s="303">
        <f t="shared" si="3"/>
        <v>0</v>
      </c>
      <c r="G27" s="304">
        <v>0</v>
      </c>
      <c r="H27" s="304">
        <v>0</v>
      </c>
      <c r="I27" s="304">
        <v>0</v>
      </c>
      <c r="J27" s="304">
        <v>0</v>
      </c>
      <c r="K27" s="304">
        <v>0</v>
      </c>
      <c r="L27" s="304">
        <v>0</v>
      </c>
      <c r="M27" s="305">
        <v>0</v>
      </c>
      <c r="N27" s="348"/>
    </row>
    <row r="28" spans="1:14" s="370" customFormat="1" ht="43.5">
      <c r="A28" s="530" t="s">
        <v>894</v>
      </c>
      <c r="B28" s="167" t="s">
        <v>895</v>
      </c>
      <c r="C28" s="597">
        <v>252</v>
      </c>
      <c r="D28" s="45"/>
      <c r="E28" s="258">
        <v>400</v>
      </c>
      <c r="F28" s="303">
        <f>SUM(G28:M28)</f>
        <v>200</v>
      </c>
      <c r="G28" s="304">
        <v>0</v>
      </c>
      <c r="H28" s="304">
        <v>0</v>
      </c>
      <c r="I28" s="304">
        <v>0</v>
      </c>
      <c r="J28" s="304">
        <v>0</v>
      </c>
      <c r="K28" s="304">
        <v>200</v>
      </c>
      <c r="L28" s="304">
        <v>0</v>
      </c>
      <c r="M28" s="305">
        <v>0</v>
      </c>
      <c r="N28" s="373" t="s">
        <v>1032</v>
      </c>
    </row>
    <row r="29" spans="1:14" s="370" customFormat="1" ht="116">
      <c r="A29" s="71" t="s">
        <v>1259</v>
      </c>
      <c r="B29" s="371" t="s">
        <v>548</v>
      </c>
      <c r="C29" s="44">
        <v>252</v>
      </c>
      <c r="D29" s="45"/>
      <c r="E29" s="258">
        <v>2275</v>
      </c>
      <c r="F29" s="303">
        <f t="shared" si="3"/>
        <v>2300</v>
      </c>
      <c r="G29" s="304">
        <v>0</v>
      </c>
      <c r="H29" s="304">
        <v>0</v>
      </c>
      <c r="I29" s="304">
        <v>0</v>
      </c>
      <c r="J29" s="304">
        <v>0</v>
      </c>
      <c r="K29" s="304">
        <v>2300</v>
      </c>
      <c r="L29" s="304">
        <v>0</v>
      </c>
      <c r="M29" s="305">
        <v>0</v>
      </c>
      <c r="N29" s="318" t="s">
        <v>1258</v>
      </c>
    </row>
    <row r="30" spans="1:14" s="370" customFormat="1" ht="43.5">
      <c r="A30" s="71" t="s">
        <v>1401</v>
      </c>
      <c r="B30" s="371" t="s">
        <v>548</v>
      </c>
      <c r="C30" s="44">
        <v>252</v>
      </c>
      <c r="D30" s="45"/>
      <c r="E30" s="258">
        <v>0</v>
      </c>
      <c r="F30" s="303">
        <f t="shared" si="3"/>
        <v>38</v>
      </c>
      <c r="G30" s="304">
        <v>0</v>
      </c>
      <c r="H30" s="304">
        <v>0</v>
      </c>
      <c r="I30" s="304">
        <v>0</v>
      </c>
      <c r="J30" s="304">
        <v>0</v>
      </c>
      <c r="K30" s="304">
        <v>38</v>
      </c>
      <c r="L30" s="304">
        <v>0</v>
      </c>
      <c r="M30" s="305">
        <v>0</v>
      </c>
      <c r="N30" s="318" t="s">
        <v>1402</v>
      </c>
    </row>
    <row r="31" spans="1:14" s="370" customFormat="1" ht="38.5">
      <c r="A31" s="259" t="s">
        <v>242</v>
      </c>
      <c r="B31" s="167" t="s">
        <v>548</v>
      </c>
      <c r="C31" s="44">
        <v>252</v>
      </c>
      <c r="D31" s="45"/>
      <c r="E31" s="258">
        <v>188</v>
      </c>
      <c r="F31" s="303">
        <f t="shared" si="3"/>
        <v>0</v>
      </c>
      <c r="G31" s="304">
        <v>0</v>
      </c>
      <c r="H31" s="304">
        <v>0</v>
      </c>
      <c r="I31" s="304">
        <v>0</v>
      </c>
      <c r="J31" s="304">
        <v>0</v>
      </c>
      <c r="K31" s="304">
        <v>0</v>
      </c>
      <c r="L31" s="304">
        <v>0</v>
      </c>
      <c r="M31" s="305">
        <v>0</v>
      </c>
      <c r="N31" s="318" t="s">
        <v>995</v>
      </c>
    </row>
    <row r="32" spans="1:14" s="370" customFormat="1" ht="58">
      <c r="A32" s="259" t="s">
        <v>242</v>
      </c>
      <c r="B32" s="167" t="s">
        <v>548</v>
      </c>
      <c r="C32" s="44">
        <v>252</v>
      </c>
      <c r="D32" s="45"/>
      <c r="E32" s="258">
        <v>0</v>
      </c>
      <c r="F32" s="303">
        <f t="shared" si="3"/>
        <v>84</v>
      </c>
      <c r="G32" s="304">
        <v>0</v>
      </c>
      <c r="H32" s="304">
        <v>0</v>
      </c>
      <c r="I32" s="304">
        <v>0</v>
      </c>
      <c r="J32" s="304">
        <v>0</v>
      </c>
      <c r="K32" s="304">
        <v>84</v>
      </c>
      <c r="L32" s="304">
        <v>0</v>
      </c>
      <c r="M32" s="305">
        <v>0</v>
      </c>
      <c r="N32" s="318" t="s">
        <v>1468</v>
      </c>
    </row>
    <row r="33" spans="1:14" s="370" customFormat="1" ht="38.5">
      <c r="A33" s="259" t="s">
        <v>242</v>
      </c>
      <c r="B33" s="167" t="s">
        <v>548</v>
      </c>
      <c r="C33" s="44">
        <v>252</v>
      </c>
      <c r="D33" s="45"/>
      <c r="E33" s="258">
        <v>0</v>
      </c>
      <c r="F33" s="303">
        <f t="shared" si="3"/>
        <v>10</v>
      </c>
      <c r="G33" s="304">
        <v>0</v>
      </c>
      <c r="H33" s="304">
        <v>0</v>
      </c>
      <c r="I33" s="304">
        <v>0</v>
      </c>
      <c r="J33" s="304">
        <v>0</v>
      </c>
      <c r="K33" s="304">
        <v>10</v>
      </c>
      <c r="L33" s="304">
        <v>0</v>
      </c>
      <c r="M33" s="305">
        <v>0</v>
      </c>
      <c r="N33" s="318" t="s">
        <v>1469</v>
      </c>
    </row>
    <row r="34" spans="1:14" s="370" customFormat="1" ht="29">
      <c r="A34" s="259" t="s">
        <v>242</v>
      </c>
      <c r="B34" s="167" t="s">
        <v>293</v>
      </c>
      <c r="C34" s="44">
        <v>252</v>
      </c>
      <c r="D34" s="45"/>
      <c r="E34" s="258">
        <v>0</v>
      </c>
      <c r="F34" s="303">
        <f t="shared" si="3"/>
        <v>32</v>
      </c>
      <c r="G34" s="304">
        <v>0</v>
      </c>
      <c r="H34" s="304">
        <v>0</v>
      </c>
      <c r="I34" s="304">
        <v>0</v>
      </c>
      <c r="J34" s="304">
        <v>0</v>
      </c>
      <c r="K34" s="304">
        <v>0</v>
      </c>
      <c r="L34" s="304">
        <v>32</v>
      </c>
      <c r="M34" s="305">
        <v>0</v>
      </c>
      <c r="N34" s="318" t="s">
        <v>1562</v>
      </c>
    </row>
    <row r="35" spans="1:14" s="370" customFormat="1" ht="29">
      <c r="A35" s="259" t="s">
        <v>243</v>
      </c>
      <c r="B35" s="36"/>
      <c r="C35" s="44">
        <v>252</v>
      </c>
      <c r="D35" s="45"/>
      <c r="E35" s="258">
        <v>10</v>
      </c>
      <c r="F35" s="303">
        <f t="shared" si="3"/>
        <v>10</v>
      </c>
      <c r="G35" s="304">
        <v>0</v>
      </c>
      <c r="H35" s="304">
        <v>0</v>
      </c>
      <c r="I35" s="304">
        <v>0</v>
      </c>
      <c r="J35" s="304">
        <v>0</v>
      </c>
      <c r="K35" s="304">
        <v>10</v>
      </c>
      <c r="L35" s="304">
        <v>0</v>
      </c>
      <c r="M35" s="305">
        <v>0</v>
      </c>
      <c r="N35" s="318" t="s">
        <v>549</v>
      </c>
    </row>
    <row r="36" spans="1:14" s="370" customFormat="1">
      <c r="A36" s="259" t="s">
        <v>244</v>
      </c>
      <c r="B36" s="36"/>
      <c r="C36" s="44">
        <v>253</v>
      </c>
      <c r="D36" s="259"/>
      <c r="E36" s="258">
        <v>0</v>
      </c>
      <c r="F36" s="303">
        <f t="shared" si="3"/>
        <v>0</v>
      </c>
      <c r="G36" s="304">
        <v>0</v>
      </c>
      <c r="H36" s="304">
        <v>0</v>
      </c>
      <c r="I36" s="304">
        <v>0</v>
      </c>
      <c r="J36" s="304">
        <v>0</v>
      </c>
      <c r="K36" s="304">
        <v>0</v>
      </c>
      <c r="L36" s="304">
        <v>0</v>
      </c>
      <c r="M36" s="305">
        <v>0</v>
      </c>
      <c r="N36" s="348"/>
    </row>
    <row r="37" spans="1:14" s="370" customFormat="1">
      <c r="A37" s="259" t="s">
        <v>245</v>
      </c>
      <c r="B37" s="36"/>
      <c r="C37" s="44">
        <v>255</v>
      </c>
      <c r="D37" s="259"/>
      <c r="E37" s="258">
        <v>0</v>
      </c>
      <c r="F37" s="303">
        <f t="shared" si="3"/>
        <v>0</v>
      </c>
      <c r="G37" s="304">
        <v>0</v>
      </c>
      <c r="H37" s="304">
        <v>0</v>
      </c>
      <c r="I37" s="304">
        <v>0</v>
      </c>
      <c r="J37" s="304">
        <v>0</v>
      </c>
      <c r="K37" s="304">
        <v>0</v>
      </c>
      <c r="L37" s="304">
        <v>0</v>
      </c>
      <c r="M37" s="305">
        <v>0</v>
      </c>
      <c r="N37" s="348"/>
    </row>
    <row r="38" spans="1:14" s="370" customFormat="1">
      <c r="A38" s="259" t="s">
        <v>246</v>
      </c>
      <c r="B38" s="36"/>
      <c r="C38" s="44">
        <v>256</v>
      </c>
      <c r="D38" s="259"/>
      <c r="E38" s="258">
        <v>0</v>
      </c>
      <c r="F38" s="303">
        <f t="shared" si="3"/>
        <v>0</v>
      </c>
      <c r="G38" s="304">
        <v>0</v>
      </c>
      <c r="H38" s="304">
        <v>0</v>
      </c>
      <c r="I38" s="304">
        <v>0</v>
      </c>
      <c r="J38" s="304">
        <v>0</v>
      </c>
      <c r="K38" s="304">
        <v>0</v>
      </c>
      <c r="L38" s="304">
        <v>0</v>
      </c>
      <c r="M38" s="305">
        <v>0</v>
      </c>
      <c r="N38" s="348"/>
    </row>
    <row r="39" spans="1:14" s="370" customFormat="1">
      <c r="A39" s="259" t="s">
        <v>247</v>
      </c>
      <c r="B39" s="36"/>
      <c r="C39" s="44">
        <v>257</v>
      </c>
      <c r="D39" s="259"/>
      <c r="E39" s="258">
        <v>0</v>
      </c>
      <c r="F39" s="303">
        <f t="shared" si="3"/>
        <v>0</v>
      </c>
      <c r="G39" s="304">
        <v>0</v>
      </c>
      <c r="H39" s="304">
        <v>0</v>
      </c>
      <c r="I39" s="304">
        <v>0</v>
      </c>
      <c r="J39" s="304">
        <v>0</v>
      </c>
      <c r="K39" s="304">
        <v>0</v>
      </c>
      <c r="L39" s="304">
        <v>0</v>
      </c>
      <c r="M39" s="305">
        <v>0</v>
      </c>
      <c r="N39" s="348"/>
    </row>
    <row r="40" spans="1:14" s="370" customFormat="1">
      <c r="A40" s="259" t="s">
        <v>248</v>
      </c>
      <c r="B40" s="36"/>
      <c r="C40" s="44" t="s">
        <v>249</v>
      </c>
      <c r="D40" s="259"/>
      <c r="E40" s="258">
        <v>0</v>
      </c>
      <c r="F40" s="303">
        <f t="shared" si="3"/>
        <v>0</v>
      </c>
      <c r="G40" s="304">
        <v>0</v>
      </c>
      <c r="H40" s="304">
        <v>0</v>
      </c>
      <c r="I40" s="304">
        <v>0</v>
      </c>
      <c r="J40" s="304">
        <v>0</v>
      </c>
      <c r="K40" s="304">
        <v>0</v>
      </c>
      <c r="L40" s="304">
        <v>0</v>
      </c>
      <c r="M40" s="305">
        <v>0</v>
      </c>
      <c r="N40" s="348"/>
    </row>
    <row r="41" spans="1:14" s="370" customFormat="1" ht="29">
      <c r="A41" s="260" t="s">
        <v>250</v>
      </c>
      <c r="B41" s="36"/>
      <c r="C41" s="261" t="s">
        <v>251</v>
      </c>
      <c r="D41" s="260"/>
      <c r="E41" s="258">
        <v>2</v>
      </c>
      <c r="F41" s="303">
        <f>SUM(G41:M41)</f>
        <v>10</v>
      </c>
      <c r="G41" s="304">
        <v>0</v>
      </c>
      <c r="H41" s="304">
        <v>0</v>
      </c>
      <c r="I41" s="304">
        <v>0</v>
      </c>
      <c r="J41" s="304">
        <v>0</v>
      </c>
      <c r="K41" s="304">
        <v>10</v>
      </c>
      <c r="L41" s="304">
        <v>0</v>
      </c>
      <c r="M41" s="305">
        <v>0</v>
      </c>
      <c r="N41" s="318" t="s">
        <v>1033</v>
      </c>
    </row>
    <row r="42" spans="1:14" s="370" customFormat="1">
      <c r="A42" s="260" t="s">
        <v>252</v>
      </c>
      <c r="B42" s="378"/>
      <c r="C42" s="261" t="s">
        <v>253</v>
      </c>
      <c r="D42" s="260"/>
      <c r="E42" s="311">
        <v>0</v>
      </c>
      <c r="F42" s="303">
        <f>SUM(G42:M42)</f>
        <v>0</v>
      </c>
      <c r="G42" s="163">
        <v>0</v>
      </c>
      <c r="H42" s="163">
        <v>0</v>
      </c>
      <c r="I42" s="163">
        <v>0</v>
      </c>
      <c r="J42" s="163">
        <v>0</v>
      </c>
      <c r="K42" s="163">
        <f>-47-38+85</f>
        <v>0</v>
      </c>
      <c r="L42" s="163">
        <v>0</v>
      </c>
      <c r="M42" s="164">
        <v>0</v>
      </c>
      <c r="N42" s="318" t="s">
        <v>1400</v>
      </c>
    </row>
    <row r="43" spans="1:14">
      <c r="A43" s="40" t="s">
        <v>254</v>
      </c>
      <c r="B43" s="260"/>
      <c r="C43" s="261"/>
      <c r="D43" s="242"/>
      <c r="E43" s="237">
        <f t="shared" ref="E43:M43" si="4">SUM(E23:E42)</f>
        <v>2896</v>
      </c>
      <c r="F43" s="238">
        <f t="shared" si="4"/>
        <v>2705</v>
      </c>
      <c r="G43" s="238">
        <f t="shared" si="4"/>
        <v>0</v>
      </c>
      <c r="H43" s="238">
        <f t="shared" si="4"/>
        <v>0</v>
      </c>
      <c r="I43" s="238">
        <f t="shared" si="4"/>
        <v>0</v>
      </c>
      <c r="J43" s="238">
        <f t="shared" si="4"/>
        <v>0</v>
      </c>
      <c r="K43" s="238">
        <f t="shared" si="4"/>
        <v>2673</v>
      </c>
      <c r="L43" s="238">
        <f t="shared" si="4"/>
        <v>32</v>
      </c>
      <c r="M43" s="238">
        <f t="shared" si="4"/>
        <v>0</v>
      </c>
      <c r="N43" s="348"/>
    </row>
    <row r="44" spans="1:14">
      <c r="A44" s="40" t="s">
        <v>255</v>
      </c>
      <c r="B44" s="51"/>
      <c r="C44" s="147"/>
      <c r="D44" s="242"/>
      <c r="E44" s="239"/>
      <c r="F44" s="240">
        <f>SUM(G44:L44)</f>
        <v>246</v>
      </c>
      <c r="G44" s="240">
        <v>0</v>
      </c>
      <c r="H44" s="240">
        <v>0</v>
      </c>
      <c r="I44" s="240">
        <v>0</v>
      </c>
      <c r="J44" s="240">
        <v>0</v>
      </c>
      <c r="K44" s="240">
        <f>254-8</f>
        <v>246</v>
      </c>
      <c r="L44" s="240">
        <v>0</v>
      </c>
      <c r="M44" s="240">
        <v>0</v>
      </c>
      <c r="N44" s="318" t="s">
        <v>1470</v>
      </c>
    </row>
    <row r="45" spans="1:14">
      <c r="A45" s="40" t="s">
        <v>256</v>
      </c>
      <c r="B45" s="46"/>
      <c r="C45" s="47"/>
      <c r="D45" s="48"/>
      <c r="E45" s="237">
        <f t="shared" ref="E45:M45" si="5">E43+E21+E15-E44</f>
        <v>3145</v>
      </c>
      <c r="F45" s="17">
        <f t="shared" si="5"/>
        <v>2737</v>
      </c>
      <c r="G45" s="17">
        <f t="shared" si="5"/>
        <v>0</v>
      </c>
      <c r="H45" s="17">
        <f t="shared" si="5"/>
        <v>0</v>
      </c>
      <c r="I45" s="17">
        <f t="shared" si="5"/>
        <v>0</v>
      </c>
      <c r="J45" s="17">
        <f t="shared" si="5"/>
        <v>0</v>
      </c>
      <c r="K45" s="17">
        <f t="shared" si="5"/>
        <v>2705</v>
      </c>
      <c r="L45" s="17">
        <f t="shared" si="5"/>
        <v>32</v>
      </c>
      <c r="M45" s="17">
        <f t="shared" si="5"/>
        <v>0</v>
      </c>
      <c r="N45" s="346"/>
    </row>
    <row r="46" spans="1:14">
      <c r="A46" s="370"/>
      <c r="B46" s="370"/>
      <c r="C46" s="639"/>
      <c r="D46" s="264" t="s">
        <v>299</v>
      </c>
      <c r="E46" s="310">
        <f>+E45-C49</f>
        <v>1807</v>
      </c>
      <c r="F46" s="310">
        <f>+F45-B49</f>
        <v>1467</v>
      </c>
      <c r="G46" s="370"/>
      <c r="H46" s="370"/>
      <c r="I46" s="370"/>
      <c r="J46" s="370"/>
      <c r="K46" s="370"/>
      <c r="L46" s="370"/>
      <c r="M46" s="370"/>
      <c r="N46" s="370"/>
    </row>
    <row r="47" spans="1:14" s="370" customFormat="1">
      <c r="A47" s="451" t="s">
        <v>494</v>
      </c>
      <c r="C47" s="639"/>
    </row>
    <row r="48" spans="1:14" s="370" customFormat="1">
      <c r="A48" s="56" t="s">
        <v>300</v>
      </c>
      <c r="B48" s="377" t="s">
        <v>1012</v>
      </c>
      <c r="C48" s="31" t="s">
        <v>735</v>
      </c>
    </row>
    <row r="49" spans="1:7" s="370" customFormat="1">
      <c r="A49" s="57" t="s">
        <v>301</v>
      </c>
      <c r="B49" s="701">
        <f>1260+10</f>
        <v>1270</v>
      </c>
      <c r="C49" s="58">
        <v>1338</v>
      </c>
    </row>
    <row r="50" spans="1:7" s="370" customFormat="1">
      <c r="A50" s="530" t="s">
        <v>302</v>
      </c>
      <c r="B50" s="59">
        <v>0</v>
      </c>
      <c r="C50" s="59">
        <v>0</v>
      </c>
      <c r="D50" s="512"/>
    </row>
    <row r="51" spans="1:7" s="370" customFormat="1">
      <c r="A51" s="530" t="s">
        <v>550</v>
      </c>
      <c r="B51" s="605">
        <v>0</v>
      </c>
      <c r="C51" s="605">
        <v>0</v>
      </c>
    </row>
    <row r="52" spans="1:7" s="370" customFormat="1">
      <c r="A52" s="60" t="s">
        <v>495</v>
      </c>
      <c r="B52" s="61">
        <f>B49-B50-B51</f>
        <v>1270</v>
      </c>
      <c r="C52" s="61">
        <f>+C49-C50-C51</f>
        <v>1338</v>
      </c>
    </row>
    <row r="53" spans="1:7" s="370" customFormat="1">
      <c r="C53" s="639"/>
      <c r="D53" s="409"/>
      <c r="E53" s="410"/>
      <c r="F53" s="410"/>
    </row>
    <row r="54" spans="1:7" s="370" customFormat="1" ht="15" thickBot="1">
      <c r="C54" s="661"/>
      <c r="F54" s="257"/>
    </row>
    <row r="55" spans="1:7" s="370" customFormat="1" ht="15.5">
      <c r="A55" s="873" t="s">
        <v>257</v>
      </c>
      <c r="B55" s="874"/>
      <c r="C55" s="874"/>
      <c r="D55" s="874"/>
      <c r="E55" s="874"/>
      <c r="F55" s="874"/>
      <c r="G55" s="550"/>
    </row>
    <row r="56" spans="1:7" s="370" customFormat="1" ht="15.5">
      <c r="A56" s="875"/>
      <c r="B56" s="876"/>
      <c r="C56" s="876"/>
      <c r="D56" s="876"/>
      <c r="E56" s="876"/>
      <c r="F56" s="876"/>
      <c r="G56" s="551"/>
    </row>
    <row r="57" spans="1:7" s="370" customFormat="1">
      <c r="A57" s="877" t="s">
        <v>258</v>
      </c>
      <c r="B57" s="878"/>
      <c r="C57" s="552"/>
      <c r="D57" s="552"/>
      <c r="E57" s="552"/>
      <c r="F57" s="552"/>
      <c r="G57" s="551"/>
    </row>
    <row r="58" spans="1:7" s="370" customFormat="1" ht="40.9" customHeight="1">
      <c r="A58" s="553" t="s">
        <v>1028</v>
      </c>
      <c r="B58" s="554">
        <f>E45</f>
        <v>3145</v>
      </c>
      <c r="C58" s="555"/>
      <c r="D58" s="556"/>
      <c r="E58" s="556"/>
      <c r="F58" s="556"/>
      <c r="G58" s="551"/>
    </row>
    <row r="59" spans="1:7" s="370" customFormat="1">
      <c r="A59" s="557" t="s">
        <v>1029</v>
      </c>
      <c r="B59" s="558">
        <f>F45</f>
        <v>2737</v>
      </c>
      <c r="C59" s="555"/>
      <c r="D59" s="556"/>
      <c r="E59" s="556"/>
      <c r="F59" s="556"/>
      <c r="G59" s="551"/>
    </row>
    <row r="60" spans="1:7" s="370" customFormat="1">
      <c r="A60" s="559" t="s">
        <v>259</v>
      </c>
      <c r="B60" s="560">
        <f>B59-B58</f>
        <v>-408</v>
      </c>
      <c r="C60" s="555"/>
      <c r="D60" s="556"/>
      <c r="E60" s="556"/>
      <c r="F60" s="556"/>
      <c r="G60" s="551"/>
    </row>
    <row r="61" spans="1:7" s="370" customFormat="1">
      <c r="A61" s="559" t="s">
        <v>260</v>
      </c>
      <c r="B61" s="561">
        <f>B60/B58</f>
        <v>-0.12972972972972974</v>
      </c>
      <c r="C61" s="555"/>
      <c r="D61" s="556"/>
      <c r="E61" s="556"/>
      <c r="F61" s="556"/>
      <c r="G61" s="551"/>
    </row>
    <row r="62" spans="1:7" s="370" customFormat="1">
      <c r="A62" s="562"/>
      <c r="B62" s="556"/>
      <c r="C62" s="660"/>
      <c r="D62" s="556"/>
      <c r="E62" s="556"/>
      <c r="F62" s="556"/>
      <c r="G62" s="551"/>
    </row>
    <row r="63" spans="1:7" s="29" customFormat="1">
      <c r="A63" s="936" t="s">
        <v>261</v>
      </c>
      <c r="B63" s="937"/>
      <c r="C63" s="937"/>
      <c r="D63" s="937"/>
      <c r="E63" s="937"/>
      <c r="F63" s="937"/>
      <c r="G63" s="733"/>
    </row>
    <row r="64" spans="1:7" s="29" customFormat="1" ht="41.65" customHeight="1">
      <c r="A64" s="881" t="s">
        <v>896</v>
      </c>
      <c r="B64" s="882"/>
      <c r="C64" s="882"/>
      <c r="D64" s="882"/>
      <c r="E64" s="882"/>
      <c r="F64" s="883"/>
      <c r="G64" s="733"/>
    </row>
    <row r="65" spans="1:10" s="29" customFormat="1">
      <c r="A65" s="734"/>
      <c r="B65" s="735"/>
      <c r="C65" s="735"/>
      <c r="D65" s="735"/>
      <c r="E65" s="735"/>
      <c r="F65" s="735"/>
      <c r="G65" s="733"/>
    </row>
    <row r="66" spans="1:10" s="29" customFormat="1">
      <c r="A66" s="736" t="s">
        <v>262</v>
      </c>
      <c r="B66" s="737"/>
      <c r="C66" s="738"/>
      <c r="D66" s="737"/>
      <c r="E66" s="737"/>
      <c r="F66" s="737"/>
      <c r="G66" s="733"/>
    </row>
    <row r="67" spans="1:10" s="29" customFormat="1" ht="98.25" customHeight="1">
      <c r="A67" s="930" t="s">
        <v>897</v>
      </c>
      <c r="B67" s="931"/>
      <c r="C67" s="931"/>
      <c r="D67" s="931"/>
      <c r="E67" s="931"/>
      <c r="F67" s="932"/>
      <c r="G67" s="733"/>
    </row>
    <row r="68" spans="1:10" s="29" customFormat="1">
      <c r="A68" s="739"/>
      <c r="B68" s="737"/>
      <c r="C68" s="738"/>
      <c r="D68" s="737"/>
      <c r="E68" s="737"/>
      <c r="F68" s="737"/>
      <c r="G68" s="733"/>
      <c r="J68" s="66"/>
    </row>
    <row r="69" spans="1:10" s="29" customFormat="1">
      <c r="A69" s="936" t="s">
        <v>1020</v>
      </c>
      <c r="B69" s="937"/>
      <c r="C69" s="937"/>
      <c r="D69" s="937"/>
      <c r="E69" s="937"/>
      <c r="F69" s="937"/>
      <c r="G69" s="733"/>
      <c r="J69" s="66"/>
    </row>
    <row r="70" spans="1:10" s="29" customFormat="1">
      <c r="A70" s="898" t="s">
        <v>1021</v>
      </c>
      <c r="B70" s="899"/>
      <c r="C70" s="899"/>
      <c r="D70" s="899"/>
      <c r="E70" s="899"/>
      <c r="F70" s="899"/>
      <c r="G70" s="733"/>
      <c r="J70" s="66"/>
    </row>
    <row r="71" spans="1:10" s="29" customFormat="1" ht="35.25" customHeight="1">
      <c r="A71" s="930" t="s">
        <v>898</v>
      </c>
      <c r="B71" s="931"/>
      <c r="C71" s="931"/>
      <c r="D71" s="931"/>
      <c r="E71" s="931"/>
      <c r="F71" s="932"/>
      <c r="G71" s="733"/>
      <c r="J71" s="66"/>
    </row>
    <row r="72" spans="1:10" s="29" customFormat="1">
      <c r="A72" s="736"/>
      <c r="B72" s="737"/>
      <c r="C72" s="738"/>
      <c r="D72" s="737"/>
      <c r="E72" s="737"/>
      <c r="F72" s="737"/>
      <c r="G72" s="733"/>
      <c r="J72" s="66"/>
    </row>
    <row r="73" spans="1:10" s="29" customFormat="1">
      <c r="A73" s="936" t="s">
        <v>264</v>
      </c>
      <c r="B73" s="937"/>
      <c r="C73" s="937"/>
      <c r="D73" s="937"/>
      <c r="E73" s="937"/>
      <c r="F73" s="737"/>
      <c r="G73" s="733"/>
      <c r="J73" s="66"/>
    </row>
    <row r="74" spans="1:10" s="29" customFormat="1">
      <c r="A74" s="990"/>
      <c r="B74" s="991"/>
      <c r="C74" s="991"/>
      <c r="D74" s="991"/>
      <c r="E74" s="991"/>
      <c r="F74" s="992"/>
      <c r="G74" s="733"/>
      <c r="J74" s="66"/>
    </row>
    <row r="75" spans="1:10" s="29" customFormat="1">
      <c r="A75" s="739"/>
      <c r="B75" s="737"/>
      <c r="C75" s="738"/>
      <c r="D75" s="737"/>
      <c r="E75" s="737"/>
      <c r="F75" s="737"/>
      <c r="G75" s="733"/>
      <c r="J75" s="66"/>
    </row>
    <row r="76" spans="1:10" s="29" customFormat="1">
      <c r="A76" s="736" t="s">
        <v>265</v>
      </c>
      <c r="B76" s="737"/>
      <c r="C76" s="738"/>
      <c r="D76" s="737"/>
      <c r="E76" s="737"/>
      <c r="F76" s="737"/>
      <c r="G76" s="733"/>
      <c r="J76" s="66"/>
    </row>
    <row r="77" spans="1:10" s="29" customFormat="1">
      <c r="A77" s="740" t="s">
        <v>266</v>
      </c>
      <c r="B77" s="737"/>
      <c r="C77" s="738"/>
      <c r="D77" s="737"/>
      <c r="E77" s="737"/>
      <c r="F77" s="737"/>
      <c r="G77" s="733"/>
      <c r="J77" s="66"/>
    </row>
    <row r="78" spans="1:10" s="29" customFormat="1" ht="31" customHeight="1">
      <c r="A78" s="892" t="s">
        <v>1030</v>
      </c>
      <c r="B78" s="893"/>
      <c r="C78" s="893"/>
      <c r="D78" s="893"/>
      <c r="E78" s="893"/>
      <c r="F78" s="893"/>
      <c r="G78" s="733"/>
      <c r="J78" s="66"/>
    </row>
    <row r="79" spans="1:10" s="29" customFormat="1">
      <c r="A79" s="903"/>
      <c r="B79" s="904"/>
      <c r="C79" s="904"/>
      <c r="D79" s="904"/>
      <c r="E79" s="904"/>
      <c r="F79" s="905"/>
      <c r="G79" s="733"/>
      <c r="J79" s="66"/>
    </row>
    <row r="80" spans="1:10" s="29" customFormat="1">
      <c r="A80" s="894"/>
      <c r="B80" s="895"/>
      <c r="C80" s="895"/>
      <c r="D80" s="895"/>
      <c r="E80" s="895"/>
      <c r="F80" s="895"/>
      <c r="G80" s="733"/>
      <c r="J80" s="66"/>
    </row>
    <row r="81" spans="1:10" s="29" customFormat="1">
      <c r="A81" s="566" t="s">
        <v>1034</v>
      </c>
      <c r="B81" s="556"/>
      <c r="C81" s="766"/>
      <c r="D81" s="556"/>
      <c r="E81" s="556"/>
      <c r="F81" s="556"/>
      <c r="G81" s="733"/>
      <c r="J81" s="66"/>
    </row>
    <row r="82" spans="1:10" s="29" customFormat="1" ht="39" customHeight="1">
      <c r="A82" s="896" t="s">
        <v>269</v>
      </c>
      <c r="B82" s="897"/>
      <c r="C82" s="897"/>
      <c r="D82" s="897"/>
      <c r="E82" s="897"/>
      <c r="F82" s="897"/>
      <c r="G82" s="733"/>
      <c r="J82" s="66"/>
    </row>
    <row r="83" spans="1:10" s="29" customFormat="1">
      <c r="A83" s="989"/>
      <c r="B83" s="946"/>
      <c r="C83" s="946"/>
      <c r="D83" s="946"/>
      <c r="E83" s="946"/>
      <c r="F83" s="947"/>
      <c r="G83" s="733"/>
      <c r="J83" s="66"/>
    </row>
    <row r="84" spans="1:10" s="29" customFormat="1" ht="15" thickBot="1">
      <c r="A84" s="741"/>
      <c r="B84" s="742"/>
      <c r="C84" s="743"/>
      <c r="D84" s="742"/>
      <c r="E84" s="742"/>
      <c r="F84" s="742"/>
      <c r="G84" s="744"/>
      <c r="J84" s="66"/>
    </row>
    <row r="85" spans="1:10" s="29" customFormat="1">
      <c r="C85" s="66"/>
    </row>
    <row r="86" spans="1:10" s="29" customFormat="1">
      <c r="C86" s="66"/>
    </row>
    <row r="87" spans="1:10" s="29" customFormat="1">
      <c r="C87" s="66"/>
    </row>
    <row r="88" spans="1:10" s="29" customFormat="1">
      <c r="C88" s="66"/>
    </row>
    <row r="89" spans="1:10" s="29" customFormat="1">
      <c r="C89" s="66"/>
    </row>
    <row r="90" spans="1:10" s="29" customFormat="1">
      <c r="C90" s="66"/>
    </row>
    <row r="91" spans="1:10" s="29" customFormat="1">
      <c r="C91" s="66"/>
    </row>
    <row r="92" spans="1:10" s="29" customFormat="1">
      <c r="C92" s="66"/>
    </row>
    <row r="93" spans="1:10" s="29" customFormat="1">
      <c r="C93" s="66"/>
    </row>
    <row r="94" spans="1:10" s="29" customFormat="1">
      <c r="C94" s="66"/>
    </row>
  </sheetData>
  <mergeCells count="17">
    <mergeCell ref="A64:F64"/>
    <mergeCell ref="A67:F67"/>
    <mergeCell ref="A69:F69"/>
    <mergeCell ref="A70:F70"/>
    <mergeCell ref="A71:F71"/>
    <mergeCell ref="A1:N1"/>
    <mergeCell ref="A55:F55"/>
    <mergeCell ref="A56:F56"/>
    <mergeCell ref="A57:B57"/>
    <mergeCell ref="A63:F63"/>
    <mergeCell ref="A82:F82"/>
    <mergeCell ref="A83:F83"/>
    <mergeCell ref="A73:E73"/>
    <mergeCell ref="A74:F74"/>
    <mergeCell ref="A78:F78"/>
    <mergeCell ref="A79:F79"/>
    <mergeCell ref="A80:F80"/>
  </mergeCells>
  <printOptions horizontalCentered="1"/>
  <pageMargins left="0.2" right="0.2" top="0.5" bottom="0.5" header="0.3" footer="0.3"/>
  <pageSetup scale="66" fitToHeight="0" orientation="landscape" r:id="rId1"/>
  <headerFooter>
    <oddHeader xml:space="preserve">&amp;CDRAFT NOT FOR DISTRIBUTION, INTERNAL USE ONLY
</oddHead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pageSetUpPr fitToPage="1"/>
  </sheetPr>
  <dimension ref="A1:N72"/>
  <sheetViews>
    <sheetView zoomScaleNormal="100" workbookViewId="0">
      <selection sqref="A1:N1"/>
    </sheetView>
  </sheetViews>
  <sheetFormatPr defaultColWidth="9.1796875" defaultRowHeight="14.5"/>
  <cols>
    <col min="1" max="1" width="47.26953125" style="149" customWidth="1"/>
    <col min="2" max="2" width="16" style="149" customWidth="1"/>
    <col min="3" max="3" width="7.7265625" style="150" customWidth="1"/>
    <col min="4" max="4" width="8.7265625" style="149" customWidth="1"/>
    <col min="5" max="5" width="10.7265625" style="149" customWidth="1"/>
    <col min="6" max="6" width="11" style="149" customWidth="1"/>
    <col min="7" max="7" width="9.54296875" style="149" customWidth="1"/>
    <col min="8" max="8" width="8.453125" style="149" customWidth="1"/>
    <col min="9" max="10" width="7.1796875" style="149" customWidth="1"/>
    <col min="11" max="11" width="7.7265625" style="149" customWidth="1"/>
    <col min="12" max="12" width="9.7265625" style="149" customWidth="1"/>
    <col min="13" max="13" width="9.1796875" style="149" customWidth="1"/>
    <col min="14" max="14" width="31.1796875" style="149" customWidth="1"/>
    <col min="15" max="16384" width="9.1796875" style="149"/>
  </cols>
  <sheetData>
    <row r="1" spans="1:14" ht="15.5">
      <c r="A1" s="854" t="s">
        <v>165</v>
      </c>
      <c r="B1" s="854"/>
      <c r="C1" s="854"/>
      <c r="D1" s="854"/>
      <c r="E1" s="854"/>
      <c r="F1" s="854"/>
      <c r="G1" s="854"/>
      <c r="H1" s="854"/>
      <c r="I1" s="854"/>
      <c r="J1" s="854"/>
      <c r="K1" s="854"/>
      <c r="L1" s="854"/>
      <c r="M1" s="854"/>
      <c r="N1" s="854"/>
    </row>
    <row r="2" spans="1:14">
      <c r="A2" s="702" t="s">
        <v>557</v>
      </c>
      <c r="B2" s="370"/>
      <c r="C2" s="639"/>
      <c r="D2" s="370"/>
      <c r="E2" s="370"/>
      <c r="F2" s="370"/>
      <c r="G2" s="370"/>
      <c r="H2" s="370"/>
      <c r="I2" s="370"/>
      <c r="J2" s="370"/>
      <c r="K2" s="370"/>
      <c r="L2" s="370"/>
      <c r="M2" s="370"/>
      <c r="N2" s="370"/>
    </row>
    <row r="3" spans="1:14">
      <c r="A3" s="506" t="s">
        <v>558</v>
      </c>
      <c r="B3" s="370"/>
      <c r="C3" s="639"/>
      <c r="D3" s="529" t="s">
        <v>1011</v>
      </c>
      <c r="E3" s="529"/>
      <c r="F3" s="529"/>
      <c r="G3" s="529"/>
      <c r="H3" s="529"/>
      <c r="I3" s="529"/>
      <c r="J3" s="529"/>
      <c r="K3" s="29"/>
      <c r="L3" s="29"/>
      <c r="M3" s="370"/>
      <c r="N3" s="370"/>
    </row>
    <row r="4" spans="1:14">
      <c r="A4" s="506" t="s">
        <v>211</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c r="A7" s="36" t="s">
        <v>217</v>
      </c>
      <c r="B7" s="36"/>
      <c r="C7" s="37" t="s">
        <v>218</v>
      </c>
      <c r="D7" s="38"/>
      <c r="E7" s="258">
        <v>0</v>
      </c>
      <c r="F7" s="303">
        <f t="shared" ref="F7:F12" si="0">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si="0"/>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c r="A10" s="36" t="s">
        <v>217</v>
      </c>
      <c r="B10" s="259"/>
      <c r="C10" s="37" t="s">
        <v>218</v>
      </c>
      <c r="D10" s="39"/>
      <c r="E10" s="258">
        <v>0</v>
      </c>
      <c r="F10" s="303">
        <f t="shared" si="0"/>
        <v>0</v>
      </c>
      <c r="G10" s="304">
        <v>0</v>
      </c>
      <c r="H10" s="304">
        <v>0</v>
      </c>
      <c r="I10" s="304">
        <v>0</v>
      </c>
      <c r="J10" s="304">
        <v>0</v>
      </c>
      <c r="K10" s="304">
        <v>0</v>
      </c>
      <c r="L10" s="304">
        <v>0</v>
      </c>
      <c r="M10" s="305">
        <v>0</v>
      </c>
      <c r="N10" s="348"/>
    </row>
    <row r="11" spans="1:14">
      <c r="A11" s="36" t="s">
        <v>217</v>
      </c>
      <c r="B11" s="259"/>
      <c r="C11" s="37" t="s">
        <v>218</v>
      </c>
      <c r="D11" s="39"/>
      <c r="E11" s="258">
        <v>0</v>
      </c>
      <c r="F11" s="303">
        <f t="shared" si="0"/>
        <v>0</v>
      </c>
      <c r="G11" s="304">
        <v>0</v>
      </c>
      <c r="H11" s="304">
        <v>0</v>
      </c>
      <c r="I11" s="304">
        <v>0</v>
      </c>
      <c r="J11" s="304">
        <v>0</v>
      </c>
      <c r="K11" s="304">
        <v>0</v>
      </c>
      <c r="L11" s="304">
        <v>0</v>
      </c>
      <c r="M11" s="305">
        <v>0</v>
      </c>
      <c r="N11" s="348"/>
    </row>
    <row r="12" spans="1:14">
      <c r="A12" s="36" t="s">
        <v>217</v>
      </c>
      <c r="B12" s="260"/>
      <c r="C12" s="37" t="s">
        <v>218</v>
      </c>
      <c r="D12" s="39"/>
      <c r="E12" s="258">
        <v>0</v>
      </c>
      <c r="F12" s="303">
        <f t="shared" si="0"/>
        <v>0</v>
      </c>
      <c r="G12" s="304">
        <v>0</v>
      </c>
      <c r="H12" s="304">
        <v>0</v>
      </c>
      <c r="I12" s="304">
        <v>0</v>
      </c>
      <c r="J12" s="304">
        <v>0</v>
      </c>
      <c r="K12" s="304">
        <v>0</v>
      </c>
      <c r="L12" s="304">
        <v>0</v>
      </c>
      <c r="M12" s="305">
        <v>0</v>
      </c>
      <c r="N12" s="348"/>
    </row>
    <row r="13" spans="1:14">
      <c r="A13" s="40" t="s">
        <v>219</v>
      </c>
      <c r="B13" s="260"/>
      <c r="C13" s="261"/>
      <c r="D13" s="41">
        <f t="shared" ref="D13:M13" si="1">SUM(D7:D12)</f>
        <v>0</v>
      </c>
      <c r="E13" s="42">
        <f t="shared" si="1"/>
        <v>0</v>
      </c>
      <c r="F13" s="43">
        <f t="shared" si="1"/>
        <v>0</v>
      </c>
      <c r="G13" s="43">
        <f t="shared" si="1"/>
        <v>0</v>
      </c>
      <c r="H13" s="43">
        <f t="shared" si="1"/>
        <v>0</v>
      </c>
      <c r="I13" s="43">
        <f t="shared" si="1"/>
        <v>0</v>
      </c>
      <c r="J13" s="43">
        <f t="shared" si="1"/>
        <v>0</v>
      </c>
      <c r="K13" s="43">
        <f t="shared" si="1"/>
        <v>0</v>
      </c>
      <c r="L13" s="43">
        <f t="shared" si="1"/>
        <v>0</v>
      </c>
      <c r="M13" s="43">
        <f t="shared" si="1"/>
        <v>0</v>
      </c>
      <c r="N13" s="348"/>
    </row>
    <row r="14" spans="1:14">
      <c r="A14" s="125" t="s">
        <v>220</v>
      </c>
      <c r="B14" s="126"/>
      <c r="C14" s="127"/>
      <c r="D14" s="126"/>
      <c r="E14" s="126"/>
      <c r="F14" s="87"/>
      <c r="G14" s="87"/>
      <c r="H14" s="87"/>
      <c r="I14" s="87"/>
      <c r="J14" s="87"/>
      <c r="K14" s="87"/>
      <c r="L14" s="87"/>
      <c r="M14" s="87"/>
      <c r="N14" s="87"/>
    </row>
    <row r="15" spans="1:14">
      <c r="A15" s="259" t="s">
        <v>221</v>
      </c>
      <c r="B15" s="259"/>
      <c r="C15" s="44">
        <v>253</v>
      </c>
      <c r="D15" s="45"/>
      <c r="E15" s="258">
        <v>0</v>
      </c>
      <c r="F15" s="350">
        <f>SUM(G15:M15)</f>
        <v>0</v>
      </c>
      <c r="G15" s="304">
        <v>0</v>
      </c>
      <c r="H15" s="304">
        <v>0</v>
      </c>
      <c r="I15" s="304">
        <v>0</v>
      </c>
      <c r="J15" s="304">
        <v>0</v>
      </c>
      <c r="K15" s="304"/>
      <c r="L15" s="304"/>
      <c r="M15" s="305">
        <v>0</v>
      </c>
      <c r="N15" s="319"/>
    </row>
    <row r="16" spans="1:14">
      <c r="A16" s="259" t="s">
        <v>222</v>
      </c>
      <c r="B16" s="259"/>
      <c r="C16" s="44">
        <v>253</v>
      </c>
      <c r="D16" s="45"/>
      <c r="E16" s="258">
        <v>0</v>
      </c>
      <c r="F16" s="350">
        <f>SUM(G16:M16)</f>
        <v>0</v>
      </c>
      <c r="G16" s="304">
        <v>0</v>
      </c>
      <c r="H16" s="304">
        <v>0</v>
      </c>
      <c r="I16" s="304">
        <v>0</v>
      </c>
      <c r="J16" s="304">
        <v>0</v>
      </c>
      <c r="K16" s="304"/>
      <c r="L16" s="304"/>
      <c r="M16" s="305">
        <v>0</v>
      </c>
      <c r="N16" s="319"/>
    </row>
    <row r="17" spans="1:14">
      <c r="A17" s="259" t="s">
        <v>222</v>
      </c>
      <c r="B17" s="259"/>
      <c r="C17" s="44">
        <v>253</v>
      </c>
      <c r="D17" s="262"/>
      <c r="E17" s="258">
        <v>0</v>
      </c>
      <c r="F17" s="350">
        <f>SUM(G17:M17)</f>
        <v>0</v>
      </c>
      <c r="G17" s="304">
        <v>0</v>
      </c>
      <c r="H17" s="304">
        <v>0</v>
      </c>
      <c r="I17" s="304">
        <v>0</v>
      </c>
      <c r="J17" s="304">
        <v>0</v>
      </c>
      <c r="K17" s="304"/>
      <c r="L17" s="304"/>
      <c r="M17" s="305">
        <v>0</v>
      </c>
      <c r="N17" s="348"/>
    </row>
    <row r="18" spans="1:14">
      <c r="A18" s="259" t="s">
        <v>222</v>
      </c>
      <c r="B18" s="259"/>
      <c r="C18" s="44">
        <v>253</v>
      </c>
      <c r="D18" s="262"/>
      <c r="E18" s="258">
        <v>0</v>
      </c>
      <c r="F18" s="350">
        <f>SUM(G18:M18)</f>
        <v>0</v>
      </c>
      <c r="G18" s="304">
        <v>0</v>
      </c>
      <c r="H18" s="304">
        <v>0</v>
      </c>
      <c r="I18" s="304">
        <v>0</v>
      </c>
      <c r="J18" s="304">
        <v>0</v>
      </c>
      <c r="K18" s="304"/>
      <c r="L18" s="304"/>
      <c r="M18" s="305">
        <v>0</v>
      </c>
      <c r="N18" s="318"/>
    </row>
    <row r="19" spans="1:14">
      <c r="A19" s="259" t="s">
        <v>222</v>
      </c>
      <c r="B19" s="259"/>
      <c r="C19" s="44">
        <v>253</v>
      </c>
      <c r="D19" s="262"/>
      <c r="E19" s="258">
        <v>0</v>
      </c>
      <c r="F19" s="350">
        <f>SUM(G19:M19)</f>
        <v>0</v>
      </c>
      <c r="G19" s="304">
        <v>0</v>
      </c>
      <c r="H19" s="304">
        <v>0</v>
      </c>
      <c r="I19" s="304">
        <v>0</v>
      </c>
      <c r="J19" s="304">
        <v>0</v>
      </c>
      <c r="K19" s="304"/>
      <c r="L19" s="304"/>
      <c r="M19" s="305">
        <v>0</v>
      </c>
      <c r="N19" s="348"/>
    </row>
    <row r="20" spans="1:14">
      <c r="A20" s="40" t="s">
        <v>225</v>
      </c>
      <c r="B20" s="260"/>
      <c r="C20" s="261"/>
      <c r="D20" s="262">
        <f t="shared" ref="D20:M20" si="2">SUM(D15:D19)</f>
        <v>0</v>
      </c>
      <c r="E20" s="42">
        <f t="shared" si="2"/>
        <v>0</v>
      </c>
      <c r="F20" s="43">
        <f t="shared" si="2"/>
        <v>0</v>
      </c>
      <c r="G20" s="43">
        <f t="shared" si="2"/>
        <v>0</v>
      </c>
      <c r="H20" s="43">
        <f t="shared" si="2"/>
        <v>0</v>
      </c>
      <c r="I20" s="43">
        <f t="shared" si="2"/>
        <v>0</v>
      </c>
      <c r="J20" s="43">
        <f t="shared" si="2"/>
        <v>0</v>
      </c>
      <c r="K20" s="43">
        <f t="shared" si="2"/>
        <v>0</v>
      </c>
      <c r="L20" s="43">
        <f t="shared" si="2"/>
        <v>0</v>
      </c>
      <c r="M20" s="43">
        <f t="shared" si="2"/>
        <v>0</v>
      </c>
      <c r="N20" s="348"/>
    </row>
    <row r="21" spans="1:14" s="7" customFormat="1">
      <c r="A21" s="125" t="s">
        <v>226</v>
      </c>
      <c r="B21" s="126"/>
      <c r="C21" s="127"/>
      <c r="D21" s="126"/>
      <c r="E21" s="126"/>
      <c r="F21" s="87"/>
      <c r="G21" s="87"/>
      <c r="H21" s="87"/>
      <c r="I21" s="87"/>
      <c r="J21" s="87"/>
      <c r="K21" s="87"/>
      <c r="L21" s="87"/>
      <c r="M21" s="87"/>
      <c r="N21" s="87"/>
    </row>
    <row r="22" spans="1:14" ht="15" customHeight="1">
      <c r="A22" s="259" t="s">
        <v>227</v>
      </c>
      <c r="B22" s="36"/>
      <c r="C22" s="37" t="s">
        <v>228</v>
      </c>
      <c r="D22" s="38">
        <v>0</v>
      </c>
      <c r="E22" s="258">
        <v>0</v>
      </c>
      <c r="F22" s="303">
        <f t="shared" ref="F22:F34" si="3">SUM(G22:M22)</f>
        <v>0</v>
      </c>
      <c r="G22" s="304">
        <v>0</v>
      </c>
      <c r="H22" s="304">
        <v>0</v>
      </c>
      <c r="I22" s="304">
        <v>0</v>
      </c>
      <c r="J22" s="304">
        <v>0</v>
      </c>
      <c r="K22" s="304">
        <v>0</v>
      </c>
      <c r="L22" s="304">
        <v>0</v>
      </c>
      <c r="M22" s="305">
        <v>0</v>
      </c>
      <c r="N22" s="348"/>
    </row>
    <row r="23" spans="1:14">
      <c r="A23" s="259" t="s">
        <v>229</v>
      </c>
      <c r="B23" s="36"/>
      <c r="C23" s="44" t="s">
        <v>230</v>
      </c>
      <c r="D23" s="45"/>
      <c r="E23" s="258">
        <v>0</v>
      </c>
      <c r="F23" s="303">
        <f t="shared" si="3"/>
        <v>0</v>
      </c>
      <c r="G23" s="304">
        <v>0</v>
      </c>
      <c r="H23" s="304">
        <v>0</v>
      </c>
      <c r="I23" s="304">
        <v>0</v>
      </c>
      <c r="J23" s="304">
        <v>0</v>
      </c>
      <c r="K23" s="304">
        <v>0</v>
      </c>
      <c r="L23" s="304">
        <v>0</v>
      </c>
      <c r="M23" s="305">
        <v>0</v>
      </c>
      <c r="N23" s="348"/>
    </row>
    <row r="24" spans="1:14">
      <c r="A24" s="259" t="s">
        <v>231</v>
      </c>
      <c r="B24" s="36"/>
      <c r="C24" s="44" t="s">
        <v>232</v>
      </c>
      <c r="D24" s="45"/>
      <c r="E24" s="258">
        <v>0</v>
      </c>
      <c r="F24" s="303">
        <f t="shared" si="3"/>
        <v>0</v>
      </c>
      <c r="G24" s="304">
        <v>0</v>
      </c>
      <c r="H24" s="304">
        <v>0</v>
      </c>
      <c r="I24" s="304">
        <v>0</v>
      </c>
      <c r="J24" s="304">
        <v>0</v>
      </c>
      <c r="K24" s="304">
        <v>0</v>
      </c>
      <c r="L24" s="304">
        <v>0</v>
      </c>
      <c r="M24" s="305">
        <v>0</v>
      </c>
      <c r="N24" s="318"/>
    </row>
    <row r="25" spans="1:14">
      <c r="A25" s="259" t="s">
        <v>233</v>
      </c>
      <c r="B25" s="36"/>
      <c r="C25" s="44" t="s">
        <v>234</v>
      </c>
      <c r="D25" s="45"/>
      <c r="E25" s="258">
        <v>0</v>
      </c>
      <c r="F25" s="303">
        <f t="shared" si="3"/>
        <v>0</v>
      </c>
      <c r="G25" s="304">
        <v>0</v>
      </c>
      <c r="H25" s="304">
        <v>0</v>
      </c>
      <c r="I25" s="304">
        <v>0</v>
      </c>
      <c r="J25" s="304">
        <v>0</v>
      </c>
      <c r="K25" s="304">
        <v>0</v>
      </c>
      <c r="L25" s="304">
        <v>0</v>
      </c>
      <c r="M25" s="305">
        <v>0</v>
      </c>
      <c r="N25" s="348"/>
    </row>
    <row r="26" spans="1:14">
      <c r="A26" s="259" t="s">
        <v>235</v>
      </c>
      <c r="B26" s="36"/>
      <c r="C26" s="44">
        <v>251</v>
      </c>
      <c r="D26" s="45"/>
      <c r="E26" s="258">
        <v>0</v>
      </c>
      <c r="F26" s="303">
        <f t="shared" si="3"/>
        <v>0</v>
      </c>
      <c r="G26" s="304">
        <v>0</v>
      </c>
      <c r="H26" s="304">
        <v>0</v>
      </c>
      <c r="I26" s="304">
        <v>0</v>
      </c>
      <c r="J26" s="304">
        <v>0</v>
      </c>
      <c r="K26" s="304">
        <v>0</v>
      </c>
      <c r="L26" s="304">
        <v>0</v>
      </c>
      <c r="M26" s="305">
        <v>0</v>
      </c>
      <c r="N26" s="348"/>
    </row>
    <row r="27" spans="1:14" ht="101.5">
      <c r="A27" s="259" t="s">
        <v>242</v>
      </c>
      <c r="B27" s="36"/>
      <c r="C27" s="44">
        <v>252</v>
      </c>
      <c r="D27" s="45"/>
      <c r="E27" s="258">
        <v>0</v>
      </c>
      <c r="F27" s="303">
        <f t="shared" si="3"/>
        <v>0</v>
      </c>
      <c r="G27" s="304">
        <v>0</v>
      </c>
      <c r="H27" s="304">
        <v>0</v>
      </c>
      <c r="I27" s="304">
        <v>0</v>
      </c>
      <c r="J27" s="304">
        <v>0</v>
      </c>
      <c r="K27" s="304">
        <v>0</v>
      </c>
      <c r="L27" s="304">
        <v>0</v>
      </c>
      <c r="M27" s="305">
        <v>0</v>
      </c>
      <c r="N27" s="318" t="s">
        <v>559</v>
      </c>
    </row>
    <row r="28" spans="1:14">
      <c r="A28" s="259" t="s">
        <v>243</v>
      </c>
      <c r="B28" s="36"/>
      <c r="C28" s="44">
        <v>252</v>
      </c>
      <c r="D28" s="45"/>
      <c r="E28" s="258">
        <v>0</v>
      </c>
      <c r="F28" s="303">
        <f t="shared" si="3"/>
        <v>0</v>
      </c>
      <c r="G28" s="304">
        <v>0</v>
      </c>
      <c r="H28" s="304">
        <v>0</v>
      </c>
      <c r="I28" s="304">
        <v>0</v>
      </c>
      <c r="J28" s="304">
        <v>0</v>
      </c>
      <c r="K28" s="304">
        <v>0</v>
      </c>
      <c r="L28" s="304">
        <v>0</v>
      </c>
      <c r="M28" s="305">
        <v>0</v>
      </c>
      <c r="N28" s="348"/>
    </row>
    <row r="29" spans="1:14">
      <c r="A29" s="259" t="s">
        <v>244</v>
      </c>
      <c r="B29" s="36"/>
      <c r="C29" s="44">
        <v>253</v>
      </c>
      <c r="D29" s="259"/>
      <c r="E29" s="258">
        <v>0</v>
      </c>
      <c r="F29" s="303">
        <f t="shared" si="3"/>
        <v>0</v>
      </c>
      <c r="G29" s="304">
        <v>0</v>
      </c>
      <c r="H29" s="304">
        <v>0</v>
      </c>
      <c r="I29" s="304">
        <v>0</v>
      </c>
      <c r="J29" s="304">
        <v>0</v>
      </c>
      <c r="K29" s="304">
        <v>0</v>
      </c>
      <c r="L29" s="304">
        <v>0</v>
      </c>
      <c r="M29" s="305">
        <v>0</v>
      </c>
      <c r="N29" s="348"/>
    </row>
    <row r="30" spans="1:14">
      <c r="A30" s="259" t="s">
        <v>245</v>
      </c>
      <c r="B30" s="36"/>
      <c r="C30" s="44">
        <v>255</v>
      </c>
      <c r="D30" s="259"/>
      <c r="E30" s="258">
        <v>0</v>
      </c>
      <c r="F30" s="303">
        <f t="shared" si="3"/>
        <v>0</v>
      </c>
      <c r="G30" s="304">
        <v>0</v>
      </c>
      <c r="H30" s="304">
        <v>0</v>
      </c>
      <c r="I30" s="304">
        <v>0</v>
      </c>
      <c r="J30" s="304">
        <v>0</v>
      </c>
      <c r="K30" s="304">
        <v>0</v>
      </c>
      <c r="L30" s="304">
        <v>0</v>
      </c>
      <c r="M30" s="305">
        <v>0</v>
      </c>
      <c r="N30" s="348"/>
    </row>
    <row r="31" spans="1:14">
      <c r="A31" s="259" t="s">
        <v>246</v>
      </c>
      <c r="B31" s="36"/>
      <c r="C31" s="44">
        <v>256</v>
      </c>
      <c r="D31" s="259"/>
      <c r="E31" s="258">
        <v>0</v>
      </c>
      <c r="F31" s="303">
        <f t="shared" si="3"/>
        <v>0</v>
      </c>
      <c r="G31" s="304">
        <v>0</v>
      </c>
      <c r="H31" s="304">
        <v>0</v>
      </c>
      <c r="I31" s="304">
        <v>0</v>
      </c>
      <c r="J31" s="304">
        <v>0</v>
      </c>
      <c r="K31" s="304">
        <v>0</v>
      </c>
      <c r="L31" s="304">
        <v>0</v>
      </c>
      <c r="M31" s="305">
        <v>0</v>
      </c>
      <c r="N31" s="348"/>
    </row>
    <row r="32" spans="1:14">
      <c r="A32" s="259" t="s">
        <v>247</v>
      </c>
      <c r="B32" s="36"/>
      <c r="C32" s="44">
        <v>257</v>
      </c>
      <c r="D32" s="259"/>
      <c r="E32" s="258">
        <v>0</v>
      </c>
      <c r="F32" s="303">
        <f t="shared" si="3"/>
        <v>0</v>
      </c>
      <c r="G32" s="304">
        <v>0</v>
      </c>
      <c r="H32" s="304">
        <v>0</v>
      </c>
      <c r="I32" s="304">
        <v>0</v>
      </c>
      <c r="J32" s="304">
        <v>0</v>
      </c>
      <c r="K32" s="304">
        <v>0</v>
      </c>
      <c r="L32" s="304">
        <v>0</v>
      </c>
      <c r="M32" s="305">
        <v>0</v>
      </c>
      <c r="N32" s="348"/>
    </row>
    <row r="33" spans="1:14">
      <c r="A33" s="259" t="s">
        <v>248</v>
      </c>
      <c r="B33" s="36"/>
      <c r="C33" s="44" t="s">
        <v>249</v>
      </c>
      <c r="D33" s="259"/>
      <c r="E33" s="258">
        <v>0</v>
      </c>
      <c r="F33" s="303">
        <f t="shared" si="3"/>
        <v>0</v>
      </c>
      <c r="G33" s="304">
        <v>0</v>
      </c>
      <c r="H33" s="304">
        <v>0</v>
      </c>
      <c r="I33" s="304">
        <v>0</v>
      </c>
      <c r="J33" s="304">
        <v>0</v>
      </c>
      <c r="K33" s="304">
        <v>0</v>
      </c>
      <c r="L33" s="304">
        <v>0</v>
      </c>
      <c r="M33" s="305">
        <v>0</v>
      </c>
      <c r="N33" s="348"/>
    </row>
    <row r="34" spans="1:14">
      <c r="A34" s="260" t="s">
        <v>250</v>
      </c>
      <c r="B34" s="36"/>
      <c r="C34" s="261" t="s">
        <v>251</v>
      </c>
      <c r="D34" s="260"/>
      <c r="E34" s="258">
        <v>0</v>
      </c>
      <c r="F34" s="303">
        <f t="shared" si="3"/>
        <v>0</v>
      </c>
      <c r="G34" s="304">
        <v>0</v>
      </c>
      <c r="H34" s="304">
        <v>0</v>
      </c>
      <c r="I34" s="304">
        <v>0</v>
      </c>
      <c r="J34" s="304">
        <v>0</v>
      </c>
      <c r="K34" s="304">
        <v>0</v>
      </c>
      <c r="L34" s="304">
        <v>0</v>
      </c>
      <c r="M34" s="305">
        <v>0</v>
      </c>
      <c r="N34" s="348"/>
    </row>
    <row r="35" spans="1:14">
      <c r="A35" s="40" t="s">
        <v>254</v>
      </c>
      <c r="B35" s="260"/>
      <c r="C35" s="261"/>
      <c r="D35" s="262"/>
      <c r="E35" s="42">
        <f>SUM(E22:E34)</f>
        <v>0</v>
      </c>
      <c r="F35" s="43">
        <f t="shared" ref="F35:M35" si="4">SUM(F22:F34)</f>
        <v>0</v>
      </c>
      <c r="G35" s="43">
        <f t="shared" si="4"/>
        <v>0</v>
      </c>
      <c r="H35" s="43">
        <f t="shared" si="4"/>
        <v>0</v>
      </c>
      <c r="I35" s="43">
        <f t="shared" si="4"/>
        <v>0</v>
      </c>
      <c r="J35" s="43">
        <f t="shared" si="4"/>
        <v>0</v>
      </c>
      <c r="K35" s="43">
        <f t="shared" si="4"/>
        <v>0</v>
      </c>
      <c r="L35" s="43">
        <f t="shared" si="4"/>
        <v>0</v>
      </c>
      <c r="M35" s="43">
        <f t="shared" si="4"/>
        <v>0</v>
      </c>
      <c r="N35" s="348"/>
    </row>
    <row r="36" spans="1:14" ht="29">
      <c r="A36" s="40" t="s">
        <v>255</v>
      </c>
      <c r="B36" s="51"/>
      <c r="C36" s="147"/>
      <c r="D36" s="262"/>
      <c r="E36" s="236"/>
      <c r="F36" s="235">
        <f>SUM(G36:M36)</f>
        <v>0</v>
      </c>
      <c r="G36" s="235"/>
      <c r="H36" s="235">
        <v>0</v>
      </c>
      <c r="I36" s="235"/>
      <c r="J36" s="235"/>
      <c r="K36" s="235"/>
      <c r="L36" s="235"/>
      <c r="M36" s="235"/>
      <c r="N36" s="318" t="s">
        <v>560</v>
      </c>
    </row>
    <row r="37" spans="1:14">
      <c r="A37" s="40" t="s">
        <v>256</v>
      </c>
      <c r="B37" s="46"/>
      <c r="C37" s="47"/>
      <c r="D37" s="48">
        <f>D35+D20+D13</f>
        <v>0</v>
      </c>
      <c r="E37" s="42">
        <f>E35+E20+E13-E36</f>
        <v>0</v>
      </c>
      <c r="F37" s="17">
        <f t="shared" ref="F37:M37" si="5">F35+F20+F13-F36</f>
        <v>0</v>
      </c>
      <c r="G37" s="17">
        <f t="shared" si="5"/>
        <v>0</v>
      </c>
      <c r="H37" s="17">
        <f t="shared" si="5"/>
        <v>0</v>
      </c>
      <c r="I37" s="17">
        <f t="shared" si="5"/>
        <v>0</v>
      </c>
      <c r="J37" s="17">
        <f t="shared" si="5"/>
        <v>0</v>
      </c>
      <c r="K37" s="17">
        <f t="shared" si="5"/>
        <v>0</v>
      </c>
      <c r="L37" s="17">
        <f t="shared" si="5"/>
        <v>0</v>
      </c>
      <c r="M37" s="17">
        <f t="shared" si="5"/>
        <v>0</v>
      </c>
      <c r="N37" s="346"/>
    </row>
    <row r="39" spans="1:14">
      <c r="A39" s="370"/>
      <c r="B39" s="307"/>
      <c r="C39" s="307"/>
      <c r="D39" s="307"/>
      <c r="E39" s="307"/>
      <c r="F39" s="993" t="s">
        <v>561</v>
      </c>
      <c r="G39" s="993"/>
      <c r="H39" s="993"/>
      <c r="I39" s="993"/>
      <c r="J39" s="993"/>
      <c r="K39" s="993"/>
      <c r="L39" s="993"/>
      <c r="M39" s="993"/>
      <c r="N39" s="370"/>
    </row>
    <row r="41" spans="1:14" s="370" customFormat="1" ht="15" thickBot="1">
      <c r="A41" s="31"/>
      <c r="B41" s="31"/>
      <c r="C41" s="32"/>
      <c r="D41" s="31"/>
      <c r="E41" s="31"/>
      <c r="F41" s="31"/>
      <c r="G41" s="31"/>
      <c r="H41" s="31"/>
      <c r="I41" s="31"/>
      <c r="J41" s="31"/>
      <c r="K41" s="31"/>
      <c r="L41" s="31"/>
      <c r="M41" s="31"/>
      <c r="N41" s="536"/>
    </row>
    <row r="42" spans="1:14" s="370" customFormat="1" ht="15.5">
      <c r="A42" s="873" t="s">
        <v>257</v>
      </c>
      <c r="B42" s="874"/>
      <c r="C42" s="874"/>
      <c r="D42" s="874"/>
      <c r="E42" s="874"/>
      <c r="F42" s="874"/>
      <c r="G42" s="550"/>
      <c r="H42" s="31"/>
      <c r="I42" s="31"/>
      <c r="J42" s="31"/>
      <c r="K42" s="31"/>
      <c r="L42" s="31"/>
      <c r="M42" s="31"/>
      <c r="N42" s="536"/>
    </row>
    <row r="43" spans="1:14" s="370" customFormat="1" ht="15.5">
      <c r="A43" s="875"/>
      <c r="B43" s="876"/>
      <c r="C43" s="876"/>
      <c r="D43" s="876"/>
      <c r="E43" s="876"/>
      <c r="F43" s="876"/>
      <c r="G43" s="551"/>
      <c r="H43" s="31"/>
      <c r="I43" s="31"/>
      <c r="J43" s="31"/>
      <c r="K43" s="31"/>
      <c r="L43" s="31"/>
      <c r="M43" s="31"/>
      <c r="N43" s="536"/>
    </row>
    <row r="44" spans="1:14" s="370" customFormat="1">
      <c r="A44" s="877" t="s">
        <v>258</v>
      </c>
      <c r="B44" s="878"/>
      <c r="C44" s="552"/>
      <c r="D44" s="552"/>
      <c r="E44" s="552"/>
      <c r="F44" s="552"/>
      <c r="G44" s="551"/>
      <c r="H44" s="31"/>
      <c r="I44" s="31"/>
      <c r="J44" s="31"/>
      <c r="K44" s="31"/>
      <c r="L44" s="31"/>
      <c r="M44" s="31"/>
      <c r="N44" s="536"/>
    </row>
    <row r="45" spans="1:14" s="370" customFormat="1">
      <c r="A45" s="553" t="s">
        <v>344</v>
      </c>
      <c r="B45" s="554">
        <f>+E37</f>
        <v>0</v>
      </c>
      <c r="C45" s="555"/>
      <c r="D45" s="556"/>
      <c r="E45" s="556"/>
      <c r="F45" s="556"/>
      <c r="G45" s="551"/>
      <c r="H45" s="31"/>
      <c r="I45" s="31"/>
      <c r="J45" s="31"/>
      <c r="K45" s="31"/>
      <c r="L45" s="31"/>
      <c r="M45" s="31"/>
      <c r="N45" s="536"/>
    </row>
    <row r="46" spans="1:14" s="370" customFormat="1">
      <c r="A46" s="557" t="s">
        <v>345</v>
      </c>
      <c r="B46" s="558">
        <f>+F37</f>
        <v>0</v>
      </c>
      <c r="C46" s="555"/>
      <c r="D46" s="556"/>
      <c r="E46" s="556"/>
      <c r="F46" s="556"/>
      <c r="G46" s="551"/>
      <c r="H46" s="31"/>
      <c r="I46" s="31"/>
      <c r="J46" s="31"/>
      <c r="K46" s="31"/>
      <c r="L46" s="31"/>
      <c r="M46" s="31"/>
      <c r="N46" s="536"/>
    </row>
    <row r="47" spans="1:14" s="370" customFormat="1">
      <c r="A47" s="559" t="s">
        <v>259</v>
      </c>
      <c r="B47" s="560">
        <f>+B46-B45</f>
        <v>0</v>
      </c>
      <c r="C47" s="555"/>
      <c r="D47" s="556"/>
      <c r="E47" s="556"/>
      <c r="F47" s="556"/>
      <c r="G47" s="551"/>
      <c r="H47" s="31"/>
      <c r="I47" s="31"/>
      <c r="J47" s="31"/>
      <c r="K47" s="31"/>
      <c r="L47" s="31"/>
      <c r="M47" s="31"/>
      <c r="N47" s="536"/>
    </row>
    <row r="48" spans="1:14" s="370" customFormat="1">
      <c r="A48" s="559" t="s">
        <v>260</v>
      </c>
      <c r="B48" s="561" t="e">
        <f>+B47/B45</f>
        <v>#DIV/0!</v>
      </c>
      <c r="C48" s="555"/>
      <c r="D48" s="556"/>
      <c r="E48" s="556"/>
      <c r="F48" s="556"/>
      <c r="G48" s="551"/>
      <c r="H48" s="31"/>
      <c r="I48" s="31"/>
      <c r="J48" s="31"/>
      <c r="K48" s="31"/>
      <c r="L48" s="31"/>
      <c r="M48" s="31"/>
      <c r="N48" s="536"/>
    </row>
    <row r="49" spans="1:14" s="370" customFormat="1">
      <c r="A49" s="562"/>
      <c r="B49" s="556"/>
      <c r="C49" s="638"/>
      <c r="D49" s="556"/>
      <c r="E49" s="556"/>
      <c r="F49" s="556"/>
      <c r="G49" s="551"/>
      <c r="H49" s="31"/>
      <c r="I49" s="31"/>
      <c r="J49" s="31"/>
      <c r="K49" s="31"/>
      <c r="L49" s="31"/>
      <c r="M49" s="31"/>
      <c r="N49" s="536"/>
    </row>
    <row r="50" spans="1:14" s="370" customFormat="1">
      <c r="A50" s="879" t="s">
        <v>261</v>
      </c>
      <c r="B50" s="880"/>
      <c r="C50" s="880"/>
      <c r="D50" s="880"/>
      <c r="E50" s="880"/>
      <c r="F50" s="880"/>
      <c r="G50" s="551"/>
      <c r="H50" s="31"/>
      <c r="I50" s="31"/>
      <c r="J50" s="31"/>
      <c r="K50" s="31"/>
      <c r="L50" s="31"/>
      <c r="M50" s="31"/>
      <c r="N50" s="536"/>
    </row>
    <row r="51" spans="1:14" s="370" customFormat="1">
      <c r="A51" s="881"/>
      <c r="B51" s="882"/>
      <c r="C51" s="882"/>
      <c r="D51" s="882"/>
      <c r="E51" s="882"/>
      <c r="F51" s="883"/>
      <c r="G51" s="551"/>
      <c r="H51" s="31"/>
      <c r="I51" s="31"/>
      <c r="J51" s="31"/>
      <c r="K51" s="31"/>
      <c r="L51" s="31"/>
      <c r="M51" s="31"/>
      <c r="N51" s="536"/>
    </row>
    <row r="52" spans="1:14" s="370" customFormat="1">
      <c r="A52" s="563"/>
      <c r="B52" s="564"/>
      <c r="C52" s="564"/>
      <c r="D52" s="564"/>
      <c r="E52" s="564"/>
      <c r="F52" s="564"/>
      <c r="G52" s="551"/>
      <c r="H52" s="31"/>
      <c r="I52" s="31"/>
      <c r="J52" s="31"/>
      <c r="K52" s="31"/>
      <c r="L52" s="31"/>
      <c r="M52" s="31"/>
      <c r="N52" s="536"/>
    </row>
    <row r="53" spans="1:14" s="370" customFormat="1">
      <c r="A53" s="565" t="s">
        <v>262</v>
      </c>
      <c r="B53" s="556"/>
      <c r="C53" s="638"/>
      <c r="D53" s="556"/>
      <c r="E53" s="556"/>
      <c r="F53" s="556"/>
      <c r="G53" s="551"/>
      <c r="H53" s="31"/>
      <c r="I53" s="31"/>
      <c r="J53" s="31"/>
      <c r="K53" s="31"/>
      <c r="L53" s="31"/>
      <c r="M53" s="31"/>
      <c r="N53" s="536"/>
    </row>
    <row r="54" spans="1:14" s="370" customFormat="1">
      <c r="A54" s="884"/>
      <c r="B54" s="885"/>
      <c r="C54" s="885"/>
      <c r="D54" s="885"/>
      <c r="E54" s="885"/>
      <c r="F54" s="886"/>
      <c r="G54" s="551"/>
      <c r="H54" s="31"/>
      <c r="I54" s="31"/>
      <c r="J54" s="31"/>
      <c r="K54" s="31"/>
      <c r="L54" s="31"/>
      <c r="M54" s="31"/>
      <c r="N54" s="536"/>
    </row>
    <row r="55" spans="1:14" s="370" customFormat="1">
      <c r="A55" s="562"/>
      <c r="B55" s="556"/>
      <c r="C55" s="638"/>
      <c r="D55" s="556"/>
      <c r="E55" s="556"/>
      <c r="F55" s="556"/>
      <c r="G55" s="551"/>
      <c r="H55" s="31"/>
      <c r="I55" s="31"/>
      <c r="J55" s="31"/>
      <c r="K55" s="31"/>
      <c r="L55" s="31"/>
      <c r="M55" s="31"/>
      <c r="N55" s="536"/>
    </row>
    <row r="56" spans="1:14" s="370" customFormat="1">
      <c r="A56" s="879" t="s">
        <v>287</v>
      </c>
      <c r="B56" s="880"/>
      <c r="C56" s="880"/>
      <c r="D56" s="880"/>
      <c r="E56" s="880"/>
      <c r="F56" s="880"/>
      <c r="G56" s="551"/>
      <c r="H56" s="31"/>
      <c r="I56" s="31"/>
      <c r="J56" s="31"/>
      <c r="K56" s="31"/>
      <c r="L56" s="31"/>
      <c r="M56" s="31"/>
      <c r="N56" s="536"/>
    </row>
    <row r="57" spans="1:14" s="370" customFormat="1">
      <c r="A57" s="898" t="s">
        <v>528</v>
      </c>
      <c r="B57" s="899"/>
      <c r="C57" s="899"/>
      <c r="D57" s="899"/>
      <c r="E57" s="899"/>
      <c r="F57" s="899"/>
      <c r="G57" s="551"/>
      <c r="H57" s="31"/>
      <c r="I57" s="31"/>
      <c r="J57" s="31"/>
      <c r="K57" s="31"/>
      <c r="L57" s="31"/>
      <c r="M57" s="31"/>
      <c r="N57" s="536"/>
    </row>
    <row r="58" spans="1:14" s="370" customFormat="1">
      <c r="A58" s="884"/>
      <c r="B58" s="885"/>
      <c r="C58" s="885"/>
      <c r="D58" s="885"/>
      <c r="E58" s="885"/>
      <c r="F58" s="886"/>
      <c r="G58" s="551"/>
      <c r="H58" s="31"/>
      <c r="I58" s="31"/>
      <c r="J58" s="31"/>
      <c r="K58" s="31"/>
      <c r="L58" s="31"/>
      <c r="M58" s="31"/>
      <c r="N58" s="536"/>
    </row>
    <row r="59" spans="1:14" s="370" customFormat="1">
      <c r="A59" s="565"/>
      <c r="B59" s="556"/>
      <c r="C59" s="638"/>
      <c r="D59" s="556"/>
      <c r="E59" s="556"/>
      <c r="F59" s="556"/>
      <c r="G59" s="551"/>
      <c r="H59" s="31"/>
      <c r="I59" s="31"/>
      <c r="J59" s="31"/>
      <c r="K59" s="31"/>
      <c r="L59" s="31"/>
      <c r="M59" s="31"/>
      <c r="N59" s="536"/>
    </row>
    <row r="60" spans="1:14" s="370" customFormat="1">
      <c r="A60" s="879" t="s">
        <v>264</v>
      </c>
      <c r="B60" s="880"/>
      <c r="C60" s="880"/>
      <c r="D60" s="880"/>
      <c r="E60" s="880"/>
      <c r="F60" s="556"/>
      <c r="G60" s="551"/>
      <c r="H60" s="31"/>
      <c r="I60" s="31"/>
      <c r="J60" s="31"/>
      <c r="K60" s="31"/>
      <c r="L60" s="31"/>
      <c r="M60" s="31"/>
      <c r="N60" s="536"/>
    </row>
    <row r="61" spans="1:14" s="370" customFormat="1">
      <c r="A61" s="889"/>
      <c r="B61" s="890"/>
      <c r="C61" s="890"/>
      <c r="D61" s="890"/>
      <c r="E61" s="890"/>
      <c r="F61" s="891"/>
      <c r="G61" s="551"/>
      <c r="H61" s="31"/>
      <c r="I61" s="31"/>
      <c r="J61" s="31"/>
      <c r="K61" s="31"/>
      <c r="L61" s="31"/>
      <c r="M61" s="31"/>
      <c r="N61" s="536"/>
    </row>
    <row r="62" spans="1:14" s="370" customFormat="1">
      <c r="A62" s="562"/>
      <c r="B62" s="556"/>
      <c r="C62" s="638"/>
      <c r="D62" s="556"/>
      <c r="E62" s="556"/>
      <c r="F62" s="556"/>
      <c r="G62" s="551"/>
      <c r="H62" s="31"/>
      <c r="I62" s="31"/>
      <c r="J62" s="31"/>
      <c r="K62" s="31"/>
      <c r="L62" s="31"/>
      <c r="M62" s="31"/>
      <c r="N62" s="536"/>
    </row>
    <row r="63" spans="1:14" s="370" customFormat="1">
      <c r="A63" s="565" t="s">
        <v>265</v>
      </c>
      <c r="B63" s="556"/>
      <c r="C63" s="638"/>
      <c r="D63" s="556"/>
      <c r="E63" s="556"/>
      <c r="F63" s="556"/>
      <c r="G63" s="551"/>
      <c r="H63" s="31"/>
      <c r="I63" s="31"/>
      <c r="J63" s="31"/>
      <c r="K63" s="31"/>
      <c r="L63" s="31"/>
      <c r="M63" s="31"/>
      <c r="N63" s="536"/>
    </row>
    <row r="64" spans="1:14" s="370" customFormat="1">
      <c r="A64" s="566" t="s">
        <v>266</v>
      </c>
      <c r="B64" s="556"/>
      <c r="C64" s="638"/>
      <c r="D64" s="556"/>
      <c r="E64" s="556"/>
      <c r="F64" s="556"/>
      <c r="G64" s="551"/>
      <c r="H64" s="31"/>
      <c r="I64" s="31"/>
      <c r="J64" s="31"/>
      <c r="K64" s="31"/>
      <c r="L64" s="31"/>
      <c r="M64" s="31"/>
      <c r="N64" s="536"/>
    </row>
    <row r="65" spans="1:14" s="370" customFormat="1" ht="29.75" customHeight="1">
      <c r="A65" s="892" t="s">
        <v>267</v>
      </c>
      <c r="B65" s="893"/>
      <c r="C65" s="893"/>
      <c r="D65" s="893"/>
      <c r="E65" s="893"/>
      <c r="F65" s="893"/>
      <c r="G65" s="551"/>
      <c r="H65" s="31"/>
      <c r="I65" s="31"/>
      <c r="J65" s="31"/>
      <c r="K65" s="31"/>
      <c r="L65" s="31"/>
      <c r="M65" s="31"/>
      <c r="N65" s="536"/>
    </row>
    <row r="66" spans="1:14" s="370" customFormat="1">
      <c r="A66" s="903"/>
      <c r="B66" s="904"/>
      <c r="C66" s="904"/>
      <c r="D66" s="904"/>
      <c r="E66" s="904"/>
      <c r="F66" s="905"/>
      <c r="G66" s="551"/>
      <c r="H66" s="31"/>
      <c r="I66" s="31"/>
      <c r="J66" s="31"/>
      <c r="K66" s="31"/>
      <c r="L66" s="31"/>
      <c r="M66" s="31"/>
      <c r="N66" s="536"/>
    </row>
    <row r="67" spans="1:14" s="370" customFormat="1">
      <c r="A67" s="894"/>
      <c r="B67" s="895"/>
      <c r="C67" s="895"/>
      <c r="D67" s="895"/>
      <c r="E67" s="895"/>
      <c r="F67" s="895"/>
      <c r="G67" s="551"/>
      <c r="H67" s="31"/>
      <c r="I67" s="31"/>
      <c r="J67" s="31"/>
      <c r="K67" s="31"/>
      <c r="L67" s="31"/>
      <c r="M67" s="31"/>
      <c r="N67" s="536"/>
    </row>
    <row r="68" spans="1:14" s="370" customFormat="1">
      <c r="A68" s="566" t="s">
        <v>268</v>
      </c>
      <c r="B68" s="556"/>
      <c r="C68" s="638"/>
      <c r="D68" s="556"/>
      <c r="E68" s="556"/>
      <c r="F68" s="556"/>
      <c r="G68" s="551"/>
      <c r="H68" s="31"/>
      <c r="I68" s="31"/>
      <c r="J68" s="31"/>
      <c r="K68" s="31"/>
      <c r="L68" s="31"/>
      <c r="M68" s="31"/>
      <c r="N68" s="536"/>
    </row>
    <row r="69" spans="1:14" s="370" customFormat="1" ht="30.5" customHeight="1">
      <c r="A69" s="896" t="s">
        <v>269</v>
      </c>
      <c r="B69" s="897"/>
      <c r="C69" s="897"/>
      <c r="D69" s="897"/>
      <c r="E69" s="897"/>
      <c r="F69" s="897"/>
      <c r="G69" s="551"/>
      <c r="H69" s="31"/>
      <c r="I69" s="31"/>
      <c r="J69" s="31"/>
      <c r="K69" s="31"/>
      <c r="L69" s="31"/>
      <c r="M69" s="31"/>
      <c r="N69" s="536"/>
    </row>
    <row r="70" spans="1:14" s="370" customFormat="1">
      <c r="A70" s="889"/>
      <c r="B70" s="890"/>
      <c r="C70" s="890"/>
      <c r="D70" s="890"/>
      <c r="E70" s="890"/>
      <c r="F70" s="891"/>
      <c r="G70" s="551"/>
      <c r="H70" s="31"/>
      <c r="I70" s="31"/>
      <c r="J70" s="31"/>
      <c r="K70" s="31"/>
      <c r="L70" s="31"/>
      <c r="M70" s="31"/>
      <c r="N70" s="536"/>
    </row>
    <row r="71" spans="1:14" s="370" customFormat="1" ht="15" thickBot="1">
      <c r="A71" s="567"/>
      <c r="B71" s="568"/>
      <c r="C71" s="569"/>
      <c r="D71" s="568"/>
      <c r="E71" s="568"/>
      <c r="F71" s="568"/>
      <c r="G71" s="570"/>
      <c r="H71" s="31"/>
      <c r="I71" s="31"/>
      <c r="J71" s="31"/>
      <c r="K71" s="31"/>
      <c r="L71" s="31"/>
      <c r="M71" s="31"/>
      <c r="N71" s="536"/>
    </row>
    <row r="72" spans="1:14" s="370" customFormat="1">
      <c r="A72" s="31"/>
      <c r="B72" s="31"/>
      <c r="C72" s="32"/>
      <c r="D72" s="31"/>
      <c r="E72" s="31"/>
      <c r="F72" s="31"/>
      <c r="G72" s="31"/>
      <c r="H72" s="31"/>
      <c r="I72" s="31"/>
      <c r="J72" s="31"/>
      <c r="K72" s="31"/>
      <c r="L72" s="31"/>
      <c r="M72" s="31"/>
      <c r="N72" s="536"/>
    </row>
  </sheetData>
  <mergeCells count="18">
    <mergeCell ref="A67:F67"/>
    <mergeCell ref="A69:F69"/>
    <mergeCell ref="A70:F70"/>
    <mergeCell ref="A58:F58"/>
    <mergeCell ref="A60:E60"/>
    <mergeCell ref="A61:F61"/>
    <mergeCell ref="A65:F65"/>
    <mergeCell ref="A66:F66"/>
    <mergeCell ref="A50:F50"/>
    <mergeCell ref="A51:F51"/>
    <mergeCell ref="A54:F54"/>
    <mergeCell ref="A56:F56"/>
    <mergeCell ref="A57:F57"/>
    <mergeCell ref="A1:N1"/>
    <mergeCell ref="F39:M39"/>
    <mergeCell ref="A42:F42"/>
    <mergeCell ref="A43:F43"/>
    <mergeCell ref="A44:B44"/>
  </mergeCells>
  <printOptions horizontalCentered="1"/>
  <pageMargins left="0.2" right="0.2" top="0.75" bottom="0.75" header="0.3" footer="0.3"/>
  <pageSetup scale="73" fitToHeight="0" orientation="landscape" r:id="rId1"/>
  <headerFooter>
    <oddHeader xml:space="preserve">&amp;CDRAFT NOT FOR DISTRIBUTION, INTERNAL USE ONLY
</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pageSetUpPr fitToPage="1"/>
  </sheetPr>
  <dimension ref="A1:N87"/>
  <sheetViews>
    <sheetView zoomScaleNormal="100" workbookViewId="0">
      <selection sqref="A1:N1"/>
    </sheetView>
  </sheetViews>
  <sheetFormatPr defaultRowHeight="14.5"/>
  <cols>
    <col min="1" max="1" width="42.726562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9" width="7.1796875" customWidth="1"/>
    <col min="10" max="10" width="9.26953125" customWidth="1"/>
    <col min="11" max="11" width="7.7265625" customWidth="1"/>
    <col min="12" max="12" width="9.7265625" customWidth="1"/>
    <col min="13" max="13" width="9.1796875" customWidth="1"/>
    <col min="14" max="14" width="52.453125" customWidth="1"/>
  </cols>
  <sheetData>
    <row r="1" spans="1:14" ht="15.5">
      <c r="A1" s="854" t="s">
        <v>346</v>
      </c>
      <c r="B1" s="854"/>
      <c r="C1" s="854"/>
      <c r="D1" s="854"/>
      <c r="E1" s="854"/>
      <c r="F1" s="854"/>
      <c r="G1" s="854"/>
      <c r="H1" s="854"/>
      <c r="I1" s="854"/>
      <c r="J1" s="854"/>
      <c r="K1" s="854"/>
      <c r="L1" s="854"/>
      <c r="M1" s="854"/>
      <c r="N1" s="854"/>
    </row>
    <row r="2" spans="1:14" ht="26">
      <c r="A2" s="702" t="s">
        <v>787</v>
      </c>
      <c r="B2" s="370"/>
      <c r="C2" s="639"/>
      <c r="D2" s="370"/>
      <c r="E2" s="370"/>
      <c r="F2" s="370"/>
      <c r="G2" s="370"/>
      <c r="H2" s="370"/>
      <c r="I2" s="370"/>
      <c r="J2" s="370"/>
      <c r="K2" s="370"/>
      <c r="L2" s="370"/>
      <c r="M2" s="370"/>
      <c r="N2" s="370"/>
    </row>
    <row r="3" spans="1:14">
      <c r="A3" s="506" t="s">
        <v>1591</v>
      </c>
      <c r="B3" s="370"/>
      <c r="C3" s="639"/>
      <c r="D3" s="370"/>
      <c r="E3" s="29"/>
      <c r="F3" s="29"/>
      <c r="G3" s="29"/>
      <c r="H3" s="451" t="s">
        <v>210</v>
      </c>
      <c r="I3" s="370"/>
      <c r="J3" s="370"/>
      <c r="K3" s="370"/>
      <c r="L3" s="370"/>
      <c r="M3" s="370"/>
      <c r="N3" s="370"/>
    </row>
    <row r="4" spans="1:14">
      <c r="A4" s="506" t="s">
        <v>562</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161">
        <v>0</v>
      </c>
      <c r="F7" s="162">
        <f>SUM(G7:M7)</f>
        <v>0</v>
      </c>
      <c r="G7" s="163">
        <v>0</v>
      </c>
      <c r="H7" s="163">
        <v>0</v>
      </c>
      <c r="I7" s="163">
        <v>0</v>
      </c>
      <c r="J7" s="163">
        <v>0</v>
      </c>
      <c r="K7" s="163">
        <v>0</v>
      </c>
      <c r="L7" s="163">
        <v>0</v>
      </c>
      <c r="M7" s="164">
        <v>0</v>
      </c>
      <c r="N7" s="57"/>
    </row>
    <row r="8" spans="1:14" ht="15" customHeight="1">
      <c r="A8" s="36" t="s">
        <v>217</v>
      </c>
      <c r="B8" s="36"/>
      <c r="C8" s="37" t="s">
        <v>218</v>
      </c>
      <c r="D8" s="39"/>
      <c r="E8" s="161">
        <v>0</v>
      </c>
      <c r="F8" s="162">
        <f t="shared" ref="F8:F15" si="0">SUM(G8:M8)</f>
        <v>0</v>
      </c>
      <c r="G8" s="163">
        <v>0</v>
      </c>
      <c r="H8" s="163">
        <v>0</v>
      </c>
      <c r="I8" s="163">
        <v>0</v>
      </c>
      <c r="J8" s="163">
        <v>0</v>
      </c>
      <c r="K8" s="163">
        <v>0</v>
      </c>
      <c r="L8" s="163">
        <v>0</v>
      </c>
      <c r="M8" s="164">
        <v>0</v>
      </c>
      <c r="N8" s="57"/>
    </row>
    <row r="9" spans="1:14" ht="15" customHeight="1">
      <c r="A9" s="36" t="s">
        <v>217</v>
      </c>
      <c r="B9" s="259"/>
      <c r="C9" s="37" t="s">
        <v>218</v>
      </c>
      <c r="D9" s="39"/>
      <c r="E9" s="161">
        <v>0</v>
      </c>
      <c r="F9" s="162">
        <f t="shared" si="0"/>
        <v>0</v>
      </c>
      <c r="G9" s="163">
        <v>0</v>
      </c>
      <c r="H9" s="163">
        <v>0</v>
      </c>
      <c r="I9" s="163">
        <v>0</v>
      </c>
      <c r="J9" s="163">
        <v>0</v>
      </c>
      <c r="K9" s="163">
        <v>0</v>
      </c>
      <c r="L9" s="163">
        <v>0</v>
      </c>
      <c r="M9" s="164">
        <v>0</v>
      </c>
      <c r="N9" s="57"/>
    </row>
    <row r="10" spans="1:14" ht="15" customHeight="1">
      <c r="A10" s="36" t="s">
        <v>217</v>
      </c>
      <c r="B10" s="259"/>
      <c r="C10" s="37" t="s">
        <v>218</v>
      </c>
      <c r="D10" s="39"/>
      <c r="E10" s="161">
        <v>0</v>
      </c>
      <c r="F10" s="162">
        <f t="shared" si="0"/>
        <v>0</v>
      </c>
      <c r="G10" s="163">
        <v>0</v>
      </c>
      <c r="H10" s="163">
        <v>0</v>
      </c>
      <c r="I10" s="163">
        <v>0</v>
      </c>
      <c r="J10" s="163">
        <v>0</v>
      </c>
      <c r="K10" s="163">
        <v>0</v>
      </c>
      <c r="L10" s="163">
        <v>0</v>
      </c>
      <c r="M10" s="164">
        <v>0</v>
      </c>
      <c r="N10" s="57"/>
    </row>
    <row r="11" spans="1:14" ht="15" customHeight="1">
      <c r="A11" s="36" t="s">
        <v>217</v>
      </c>
      <c r="B11" s="36"/>
      <c r="C11" s="37" t="s">
        <v>218</v>
      </c>
      <c r="D11" s="39"/>
      <c r="E11" s="161">
        <v>0</v>
      </c>
      <c r="F11" s="162">
        <f t="shared" si="0"/>
        <v>0</v>
      </c>
      <c r="G11" s="163">
        <v>0</v>
      </c>
      <c r="H11" s="163">
        <v>0</v>
      </c>
      <c r="I11" s="163">
        <v>0</v>
      </c>
      <c r="J11" s="163">
        <v>0</v>
      </c>
      <c r="K11" s="163">
        <v>0</v>
      </c>
      <c r="L11" s="163">
        <v>0</v>
      </c>
      <c r="M11" s="164">
        <v>0</v>
      </c>
      <c r="N11" s="57"/>
    </row>
    <row r="12" spans="1:14" ht="15" customHeight="1">
      <c r="A12" s="36" t="s">
        <v>217</v>
      </c>
      <c r="B12" s="259"/>
      <c r="C12" s="37" t="s">
        <v>218</v>
      </c>
      <c r="D12" s="39"/>
      <c r="E12" s="161">
        <v>0</v>
      </c>
      <c r="F12" s="162">
        <f t="shared" si="0"/>
        <v>0</v>
      </c>
      <c r="G12" s="163">
        <v>0</v>
      </c>
      <c r="H12" s="163">
        <v>0</v>
      </c>
      <c r="I12" s="163">
        <v>0</v>
      </c>
      <c r="J12" s="163">
        <v>0</v>
      </c>
      <c r="K12" s="163">
        <v>0</v>
      </c>
      <c r="L12" s="163">
        <v>0</v>
      </c>
      <c r="M12" s="164">
        <v>0</v>
      </c>
      <c r="N12" s="57"/>
    </row>
    <row r="13" spans="1:14">
      <c r="A13" s="36" t="s">
        <v>217</v>
      </c>
      <c r="B13" s="259"/>
      <c r="C13" s="37" t="s">
        <v>218</v>
      </c>
      <c r="D13" s="39"/>
      <c r="E13" s="161">
        <v>0</v>
      </c>
      <c r="F13" s="162">
        <f t="shared" si="0"/>
        <v>0</v>
      </c>
      <c r="G13" s="163">
        <v>0</v>
      </c>
      <c r="H13" s="163">
        <v>0</v>
      </c>
      <c r="I13" s="163">
        <v>0</v>
      </c>
      <c r="J13" s="163">
        <v>0</v>
      </c>
      <c r="K13" s="163">
        <v>0</v>
      </c>
      <c r="L13" s="163">
        <v>0</v>
      </c>
      <c r="M13" s="164">
        <v>0</v>
      </c>
      <c r="N13" s="57"/>
    </row>
    <row r="14" spans="1:14">
      <c r="A14" s="36" t="s">
        <v>217</v>
      </c>
      <c r="B14" s="259"/>
      <c r="C14" s="37" t="s">
        <v>218</v>
      </c>
      <c r="D14" s="39"/>
      <c r="E14" s="161">
        <v>0</v>
      </c>
      <c r="F14" s="162">
        <f t="shared" si="0"/>
        <v>0</v>
      </c>
      <c r="G14" s="163">
        <v>0</v>
      </c>
      <c r="H14" s="163">
        <v>0</v>
      </c>
      <c r="I14" s="163">
        <v>0</v>
      </c>
      <c r="J14" s="163">
        <v>0</v>
      </c>
      <c r="K14" s="163">
        <v>0</v>
      </c>
      <c r="L14" s="163">
        <v>0</v>
      </c>
      <c r="M14" s="164">
        <v>0</v>
      </c>
      <c r="N14" s="57"/>
    </row>
    <row r="15" spans="1:14">
      <c r="A15" s="36" t="s">
        <v>217</v>
      </c>
      <c r="B15" s="260"/>
      <c r="C15" s="37" t="s">
        <v>218</v>
      </c>
      <c r="D15" s="39"/>
      <c r="E15" s="161">
        <v>0</v>
      </c>
      <c r="F15" s="162">
        <f t="shared" si="0"/>
        <v>0</v>
      </c>
      <c r="G15" s="163">
        <v>0</v>
      </c>
      <c r="H15" s="163">
        <v>0</v>
      </c>
      <c r="I15" s="163">
        <v>0</v>
      </c>
      <c r="J15" s="163">
        <v>0</v>
      </c>
      <c r="K15" s="163">
        <v>0</v>
      </c>
      <c r="L15" s="163">
        <v>0</v>
      </c>
      <c r="M15" s="164">
        <v>0</v>
      </c>
      <c r="N15" s="57"/>
    </row>
    <row r="16" spans="1:14">
      <c r="A16" s="40" t="s">
        <v>219</v>
      </c>
      <c r="B16" s="260"/>
      <c r="C16" s="261"/>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249"/>
    </row>
    <row r="17" spans="1:14">
      <c r="A17" s="67" t="s">
        <v>220</v>
      </c>
      <c r="B17" s="68"/>
      <c r="C17" s="69"/>
      <c r="D17" s="68"/>
      <c r="E17" s="68"/>
      <c r="F17" s="68"/>
      <c r="G17" s="68"/>
      <c r="H17" s="68"/>
      <c r="I17" s="68"/>
      <c r="J17" s="68"/>
      <c r="K17" s="68"/>
      <c r="L17" s="68"/>
      <c r="M17" s="68"/>
      <c r="N17" s="68"/>
    </row>
    <row r="18" spans="1:14" ht="213" customHeight="1">
      <c r="A18" s="71" t="s">
        <v>563</v>
      </c>
      <c r="B18" s="259" t="s">
        <v>351</v>
      </c>
      <c r="C18" s="44">
        <v>253</v>
      </c>
      <c r="D18" s="45"/>
      <c r="E18" s="161">
        <v>75</v>
      </c>
      <c r="F18" s="162">
        <f>SUM(G18:M18)</f>
        <v>75</v>
      </c>
      <c r="G18" s="163">
        <v>0</v>
      </c>
      <c r="H18" s="163">
        <v>0</v>
      </c>
      <c r="I18" s="163">
        <v>0</v>
      </c>
      <c r="J18" s="163">
        <v>0</v>
      </c>
      <c r="K18" s="163">
        <v>0</v>
      </c>
      <c r="L18" s="163">
        <v>75</v>
      </c>
      <c r="M18" s="164">
        <v>0</v>
      </c>
      <c r="N18" s="318" t="s">
        <v>788</v>
      </c>
    </row>
    <row r="19" spans="1:14">
      <c r="A19" s="259" t="s">
        <v>278</v>
      </c>
      <c r="B19" s="259"/>
      <c r="C19" s="44">
        <v>253</v>
      </c>
      <c r="D19" s="45"/>
      <c r="E19" s="161">
        <v>0</v>
      </c>
      <c r="F19" s="162">
        <f>SUM(G19:M19)</f>
        <v>0</v>
      </c>
      <c r="G19" s="163">
        <v>0</v>
      </c>
      <c r="H19" s="163">
        <v>0</v>
      </c>
      <c r="I19" s="163">
        <v>0</v>
      </c>
      <c r="J19" s="163">
        <v>0</v>
      </c>
      <c r="K19" s="163">
        <v>0</v>
      </c>
      <c r="L19" s="163">
        <v>0</v>
      </c>
      <c r="M19" s="164">
        <v>0</v>
      </c>
      <c r="N19" s="36"/>
    </row>
    <row r="20" spans="1:14">
      <c r="A20" s="259" t="s">
        <v>278</v>
      </c>
      <c r="B20" s="259"/>
      <c r="C20" s="44">
        <v>253</v>
      </c>
      <c r="D20" s="262"/>
      <c r="E20" s="161">
        <v>0</v>
      </c>
      <c r="F20" s="162">
        <f>SUM(G20:M20)</f>
        <v>0</v>
      </c>
      <c r="G20" s="163">
        <v>0</v>
      </c>
      <c r="H20" s="163">
        <v>0</v>
      </c>
      <c r="I20" s="163">
        <v>0</v>
      </c>
      <c r="J20" s="163">
        <v>0</v>
      </c>
      <c r="K20" s="163">
        <v>0</v>
      </c>
      <c r="L20" s="163">
        <v>0</v>
      </c>
      <c r="M20" s="164">
        <v>0</v>
      </c>
      <c r="N20" s="57"/>
    </row>
    <row r="21" spans="1:14" s="7" customFormat="1">
      <c r="A21" s="259" t="s">
        <v>278</v>
      </c>
      <c r="B21" s="259"/>
      <c r="C21" s="44">
        <v>253</v>
      </c>
      <c r="D21" s="262"/>
      <c r="E21" s="161">
        <v>0</v>
      </c>
      <c r="F21" s="162">
        <f>SUM(G21:M21)</f>
        <v>0</v>
      </c>
      <c r="G21" s="163">
        <v>0</v>
      </c>
      <c r="H21" s="163">
        <v>0</v>
      </c>
      <c r="I21" s="163">
        <v>0</v>
      </c>
      <c r="J21" s="163">
        <v>0</v>
      </c>
      <c r="K21" s="163">
        <v>0</v>
      </c>
      <c r="L21" s="163">
        <v>0</v>
      </c>
      <c r="M21" s="164">
        <v>0</v>
      </c>
      <c r="N21" s="36"/>
    </row>
    <row r="22" spans="1:14">
      <c r="A22" s="40" t="s">
        <v>225</v>
      </c>
      <c r="B22" s="260"/>
      <c r="C22" s="261"/>
      <c r="D22" s="262">
        <f>SUM(D18:D21)</f>
        <v>0</v>
      </c>
      <c r="E22" s="42">
        <v>75</v>
      </c>
      <c r="F22" s="43">
        <f>SUM(F18:F21)</f>
        <v>75</v>
      </c>
      <c r="G22" s="43">
        <f t="shared" ref="G22:M22" si="2">SUM(G18:G21)</f>
        <v>0</v>
      </c>
      <c r="H22" s="43">
        <f t="shared" si="2"/>
        <v>0</v>
      </c>
      <c r="I22" s="43">
        <f t="shared" si="2"/>
        <v>0</v>
      </c>
      <c r="J22" s="43">
        <f t="shared" si="2"/>
        <v>0</v>
      </c>
      <c r="K22" s="43">
        <f t="shared" si="2"/>
        <v>0</v>
      </c>
      <c r="L22" s="43">
        <f t="shared" si="2"/>
        <v>75</v>
      </c>
      <c r="M22" s="43">
        <f t="shared" si="2"/>
        <v>0</v>
      </c>
      <c r="N22" s="57"/>
    </row>
    <row r="23" spans="1:14" s="7" customFormat="1">
      <c r="A23" s="125" t="s">
        <v>226</v>
      </c>
      <c r="B23" s="126"/>
      <c r="C23" s="126"/>
      <c r="D23" s="126"/>
      <c r="E23" s="126"/>
      <c r="F23" s="126"/>
      <c r="G23" s="126"/>
      <c r="H23" s="126"/>
      <c r="I23" s="126"/>
      <c r="J23" s="126"/>
      <c r="K23" s="126"/>
      <c r="L23" s="126"/>
      <c r="M23" s="126"/>
      <c r="N23" s="166"/>
    </row>
    <row r="24" spans="1:14" ht="15" customHeight="1">
      <c r="A24" s="259" t="s">
        <v>227</v>
      </c>
      <c r="B24" s="36"/>
      <c r="C24" s="37" t="s">
        <v>228</v>
      </c>
      <c r="D24" s="38">
        <v>0</v>
      </c>
      <c r="E24" s="161">
        <v>0</v>
      </c>
      <c r="F24" s="162">
        <f t="shared" ref="F24:F38" si="3">SUM(G24:M24)</f>
        <v>0</v>
      </c>
      <c r="G24" s="163">
        <v>0</v>
      </c>
      <c r="H24" s="163">
        <v>0</v>
      </c>
      <c r="I24" s="163">
        <v>0</v>
      </c>
      <c r="J24" s="163">
        <v>0</v>
      </c>
      <c r="K24" s="163">
        <v>0</v>
      </c>
      <c r="L24" s="163">
        <v>0</v>
      </c>
      <c r="M24" s="164">
        <v>0</v>
      </c>
      <c r="N24" s="167"/>
    </row>
    <row r="25" spans="1:14">
      <c r="A25" s="259" t="s">
        <v>229</v>
      </c>
      <c r="B25" s="36"/>
      <c r="C25" s="44" t="s">
        <v>230</v>
      </c>
      <c r="D25" s="45"/>
      <c r="E25" s="161">
        <v>0</v>
      </c>
      <c r="F25" s="162">
        <f t="shared" si="3"/>
        <v>0</v>
      </c>
      <c r="G25" s="163">
        <v>0</v>
      </c>
      <c r="H25" s="163">
        <v>0</v>
      </c>
      <c r="I25" s="163">
        <v>0</v>
      </c>
      <c r="J25" s="163">
        <v>0</v>
      </c>
      <c r="K25" s="163">
        <v>0</v>
      </c>
      <c r="L25" s="163">
        <v>0</v>
      </c>
      <c r="M25" s="164">
        <v>0</v>
      </c>
      <c r="N25" s="57"/>
    </row>
    <row r="26" spans="1:14">
      <c r="A26" s="259" t="s">
        <v>231</v>
      </c>
      <c r="B26" s="36"/>
      <c r="C26" s="44" t="s">
        <v>232</v>
      </c>
      <c r="D26" s="45"/>
      <c r="E26" s="161">
        <v>0</v>
      </c>
      <c r="F26" s="162">
        <f t="shared" si="3"/>
        <v>0</v>
      </c>
      <c r="G26" s="163">
        <v>0</v>
      </c>
      <c r="H26" s="163">
        <v>0</v>
      </c>
      <c r="I26" s="163">
        <v>0</v>
      </c>
      <c r="J26" s="163">
        <v>0</v>
      </c>
      <c r="K26" s="163">
        <v>0</v>
      </c>
      <c r="L26" s="163">
        <v>0</v>
      </c>
      <c r="M26" s="164">
        <v>0</v>
      </c>
      <c r="N26" s="57"/>
    </row>
    <row r="27" spans="1:14">
      <c r="A27" s="259" t="s">
        <v>233</v>
      </c>
      <c r="B27" s="36"/>
      <c r="C27" s="44" t="s">
        <v>234</v>
      </c>
      <c r="D27" s="45"/>
      <c r="E27" s="161">
        <v>0</v>
      </c>
      <c r="F27" s="162">
        <f t="shared" si="3"/>
        <v>0</v>
      </c>
      <c r="G27" s="163">
        <v>0</v>
      </c>
      <c r="H27" s="163">
        <v>0</v>
      </c>
      <c r="I27" s="163">
        <v>0</v>
      </c>
      <c r="J27" s="163">
        <v>0</v>
      </c>
      <c r="K27" s="163">
        <v>0</v>
      </c>
      <c r="L27" s="163">
        <v>0</v>
      </c>
      <c r="M27" s="164">
        <v>0</v>
      </c>
      <c r="N27" s="57"/>
    </row>
    <row r="28" spans="1:14">
      <c r="A28" s="259" t="s">
        <v>235</v>
      </c>
      <c r="B28" s="36"/>
      <c r="C28" s="44">
        <v>251</v>
      </c>
      <c r="D28" s="45"/>
      <c r="E28" s="161">
        <v>0</v>
      </c>
      <c r="F28" s="162">
        <f t="shared" si="3"/>
        <v>0</v>
      </c>
      <c r="G28" s="163">
        <v>0</v>
      </c>
      <c r="H28" s="163">
        <v>0</v>
      </c>
      <c r="I28" s="163">
        <v>0</v>
      </c>
      <c r="J28" s="163">
        <v>0</v>
      </c>
      <c r="K28" s="163">
        <v>0</v>
      </c>
      <c r="L28" s="163">
        <v>0</v>
      </c>
      <c r="M28" s="164">
        <v>0</v>
      </c>
      <c r="N28" s="57"/>
    </row>
    <row r="29" spans="1:14">
      <c r="A29" s="259" t="s">
        <v>242</v>
      </c>
      <c r="B29" s="95"/>
      <c r="C29" s="96">
        <v>252</v>
      </c>
      <c r="D29" s="97"/>
      <c r="E29" s="168">
        <v>0</v>
      </c>
      <c r="F29" s="162">
        <f t="shared" si="3"/>
        <v>0</v>
      </c>
      <c r="G29" s="170">
        <v>0</v>
      </c>
      <c r="H29" s="170">
        <v>0</v>
      </c>
      <c r="I29" s="170">
        <v>0</v>
      </c>
      <c r="J29" s="170">
        <v>0</v>
      </c>
      <c r="K29" s="170">
        <v>0</v>
      </c>
      <c r="L29" s="170">
        <v>0</v>
      </c>
      <c r="M29" s="171">
        <v>0</v>
      </c>
      <c r="N29" s="172"/>
    </row>
    <row r="30" spans="1:14">
      <c r="A30" s="259" t="s">
        <v>243</v>
      </c>
      <c r="B30" s="36"/>
      <c r="C30" s="44">
        <v>252</v>
      </c>
      <c r="D30" s="45"/>
      <c r="E30" s="161">
        <v>0</v>
      </c>
      <c r="F30" s="162">
        <f t="shared" si="3"/>
        <v>0</v>
      </c>
      <c r="G30" s="163">
        <v>0</v>
      </c>
      <c r="H30" s="163">
        <v>0</v>
      </c>
      <c r="I30" s="163">
        <v>0</v>
      </c>
      <c r="J30" s="163">
        <v>0</v>
      </c>
      <c r="K30" s="163">
        <v>0</v>
      </c>
      <c r="L30" s="163">
        <v>0</v>
      </c>
      <c r="M30" s="164">
        <v>0</v>
      </c>
      <c r="N30" s="57"/>
    </row>
    <row r="31" spans="1:14">
      <c r="A31" s="259" t="s">
        <v>244</v>
      </c>
      <c r="B31" s="36"/>
      <c r="C31" s="44">
        <v>253</v>
      </c>
      <c r="D31" s="259"/>
      <c r="E31" s="161">
        <v>0</v>
      </c>
      <c r="F31" s="162">
        <f t="shared" si="3"/>
        <v>0</v>
      </c>
      <c r="G31" s="163">
        <v>0</v>
      </c>
      <c r="H31" s="163">
        <v>0</v>
      </c>
      <c r="I31" s="163">
        <v>0</v>
      </c>
      <c r="J31" s="163">
        <v>0</v>
      </c>
      <c r="K31" s="163">
        <v>0</v>
      </c>
      <c r="L31" s="163">
        <v>0</v>
      </c>
      <c r="M31" s="164">
        <v>0</v>
      </c>
      <c r="N31" s="57"/>
    </row>
    <row r="32" spans="1:14">
      <c r="A32" s="259" t="s">
        <v>245</v>
      </c>
      <c r="B32" s="36"/>
      <c r="C32" s="44">
        <v>255</v>
      </c>
      <c r="D32" s="259"/>
      <c r="E32" s="161">
        <v>0</v>
      </c>
      <c r="F32" s="162">
        <f t="shared" si="3"/>
        <v>0</v>
      </c>
      <c r="G32" s="163">
        <v>0</v>
      </c>
      <c r="H32" s="163">
        <v>0</v>
      </c>
      <c r="I32" s="163">
        <v>0</v>
      </c>
      <c r="J32" s="163">
        <v>0</v>
      </c>
      <c r="K32" s="163">
        <v>0</v>
      </c>
      <c r="L32" s="163">
        <v>0</v>
      </c>
      <c r="M32" s="164">
        <v>0</v>
      </c>
      <c r="N32" s="57"/>
    </row>
    <row r="33" spans="1:14">
      <c r="A33" s="259" t="s">
        <v>246</v>
      </c>
      <c r="B33" s="36"/>
      <c r="C33" s="44">
        <v>256</v>
      </c>
      <c r="D33" s="259"/>
      <c r="E33" s="161">
        <v>0</v>
      </c>
      <c r="F33" s="162">
        <f t="shared" si="3"/>
        <v>0</v>
      </c>
      <c r="G33" s="163">
        <v>0</v>
      </c>
      <c r="H33" s="163">
        <v>0</v>
      </c>
      <c r="I33" s="163">
        <v>0</v>
      </c>
      <c r="J33" s="163">
        <v>0</v>
      </c>
      <c r="K33" s="163">
        <v>0</v>
      </c>
      <c r="L33" s="163">
        <v>0</v>
      </c>
      <c r="M33" s="164">
        <v>0</v>
      </c>
      <c r="N33" s="57"/>
    </row>
    <row r="34" spans="1:14">
      <c r="A34" s="259" t="s">
        <v>247</v>
      </c>
      <c r="B34" s="36"/>
      <c r="C34" s="44">
        <v>257</v>
      </c>
      <c r="D34" s="259"/>
      <c r="E34" s="161">
        <v>0</v>
      </c>
      <c r="F34" s="162">
        <f t="shared" si="3"/>
        <v>0</v>
      </c>
      <c r="G34" s="163">
        <v>0</v>
      </c>
      <c r="H34" s="163">
        <v>0</v>
      </c>
      <c r="I34" s="163">
        <v>0</v>
      </c>
      <c r="J34" s="163">
        <v>0</v>
      </c>
      <c r="K34" s="163">
        <v>0</v>
      </c>
      <c r="L34" s="163">
        <v>0</v>
      </c>
      <c r="M34" s="164">
        <v>0</v>
      </c>
      <c r="N34" s="57"/>
    </row>
    <row r="35" spans="1:14">
      <c r="A35" s="259" t="s">
        <v>248</v>
      </c>
      <c r="B35" s="36"/>
      <c r="C35" s="44" t="s">
        <v>249</v>
      </c>
      <c r="D35" s="259"/>
      <c r="E35" s="161">
        <v>0</v>
      </c>
      <c r="F35" s="162">
        <f t="shared" si="3"/>
        <v>0</v>
      </c>
      <c r="G35" s="163">
        <v>0</v>
      </c>
      <c r="H35" s="163">
        <v>0</v>
      </c>
      <c r="I35" s="163">
        <v>0</v>
      </c>
      <c r="J35" s="163">
        <v>0</v>
      </c>
      <c r="K35" s="163">
        <v>0</v>
      </c>
      <c r="L35" s="163">
        <v>0</v>
      </c>
      <c r="M35" s="164">
        <v>0</v>
      </c>
      <c r="N35" s="57"/>
    </row>
    <row r="36" spans="1:14" s="370" customFormat="1">
      <c r="A36" s="260" t="s">
        <v>250</v>
      </c>
      <c r="B36" s="36"/>
      <c r="C36" s="261" t="s">
        <v>251</v>
      </c>
      <c r="D36" s="260"/>
      <c r="E36" s="161">
        <v>0</v>
      </c>
      <c r="F36" s="162">
        <f>SUM(G36:M36)</f>
        <v>0</v>
      </c>
      <c r="G36" s="163">
        <v>0</v>
      </c>
      <c r="H36" s="163">
        <v>0</v>
      </c>
      <c r="I36" s="163">
        <v>0</v>
      </c>
      <c r="J36" s="163">
        <v>0</v>
      </c>
      <c r="K36" s="163">
        <v>0</v>
      </c>
      <c r="L36" s="163">
        <v>0</v>
      </c>
      <c r="M36" s="164">
        <v>0</v>
      </c>
      <c r="N36" s="57"/>
    </row>
    <row r="37" spans="1:14">
      <c r="A37" s="260" t="s">
        <v>252</v>
      </c>
      <c r="B37" s="378"/>
      <c r="C37" s="261" t="s">
        <v>253</v>
      </c>
      <c r="D37" s="260"/>
      <c r="E37" s="311">
        <v>0</v>
      </c>
      <c r="F37" s="303">
        <f>SUM(G37:M37)</f>
        <v>0</v>
      </c>
      <c r="G37" s="163">
        <v>0</v>
      </c>
      <c r="H37" s="163">
        <f>(75-75)</f>
        <v>0</v>
      </c>
      <c r="I37" s="163">
        <v>0</v>
      </c>
      <c r="J37" s="163">
        <v>0</v>
      </c>
      <c r="K37" s="163">
        <v>0</v>
      </c>
      <c r="L37" s="163">
        <v>0</v>
      </c>
      <c r="M37" s="164">
        <v>0</v>
      </c>
      <c r="N37" s="318"/>
    </row>
    <row r="38" spans="1:14">
      <c r="A38" s="40" t="s">
        <v>254</v>
      </c>
      <c r="B38" s="260"/>
      <c r="C38" s="261"/>
      <c r="D38" s="262"/>
      <c r="E38" s="42">
        <v>0</v>
      </c>
      <c r="F38" s="162">
        <f t="shared" si="3"/>
        <v>0</v>
      </c>
      <c r="G38" s="43">
        <f t="shared" ref="G38:M38" si="4">SUM(G24:G37)</f>
        <v>0</v>
      </c>
      <c r="H38" s="43">
        <f t="shared" si="4"/>
        <v>0</v>
      </c>
      <c r="I38" s="43">
        <f t="shared" si="4"/>
        <v>0</v>
      </c>
      <c r="J38" s="43">
        <f t="shared" si="4"/>
        <v>0</v>
      </c>
      <c r="K38" s="43">
        <f t="shared" si="4"/>
        <v>0</v>
      </c>
      <c r="L38" s="43">
        <f t="shared" si="4"/>
        <v>0</v>
      </c>
      <c r="M38" s="43">
        <f t="shared" si="4"/>
        <v>0</v>
      </c>
      <c r="N38" s="57"/>
    </row>
    <row r="39" spans="1:14">
      <c r="A39" s="40" t="s">
        <v>255</v>
      </c>
      <c r="B39" s="51"/>
      <c r="C39" s="147"/>
      <c r="D39" s="262"/>
      <c r="E39" s="236">
        <v>0</v>
      </c>
      <c r="F39" s="235">
        <f>SUM(G39:M39)</f>
        <v>0</v>
      </c>
      <c r="G39" s="235"/>
      <c r="H39" s="235">
        <v>0</v>
      </c>
      <c r="I39" s="235"/>
      <c r="J39" s="235"/>
      <c r="K39" s="235"/>
      <c r="L39" s="235"/>
      <c r="M39" s="235"/>
      <c r="N39" s="57"/>
    </row>
    <row r="40" spans="1:14">
      <c r="A40" s="40" t="s">
        <v>256</v>
      </c>
      <c r="B40" s="46"/>
      <c r="C40" s="47"/>
      <c r="D40" s="48">
        <f>D38+D22+D16</f>
        <v>0</v>
      </c>
      <c r="E40" s="42">
        <f t="shared" ref="E40:M40" si="5">E38+E22+E16-E39</f>
        <v>75</v>
      </c>
      <c r="F40" s="173">
        <f t="shared" si="5"/>
        <v>75</v>
      </c>
      <c r="G40" s="173">
        <f t="shared" si="5"/>
        <v>0</v>
      </c>
      <c r="H40" s="173">
        <f t="shared" si="5"/>
        <v>0</v>
      </c>
      <c r="I40" s="173">
        <f t="shared" si="5"/>
        <v>0</v>
      </c>
      <c r="J40" s="173">
        <f t="shared" si="5"/>
        <v>0</v>
      </c>
      <c r="K40" s="173">
        <f t="shared" si="5"/>
        <v>0</v>
      </c>
      <c r="L40" s="173">
        <f t="shared" si="5"/>
        <v>75</v>
      </c>
      <c r="M40" s="173">
        <f t="shared" si="5"/>
        <v>0</v>
      </c>
      <c r="N40" s="174"/>
    </row>
    <row r="43" spans="1:14" s="370" customFormat="1" ht="15" thickBot="1">
      <c r="A43" s="31"/>
      <c r="B43" s="31"/>
      <c r="C43" s="32"/>
      <c r="D43" s="31"/>
      <c r="E43" s="31"/>
      <c r="F43" s="31"/>
      <c r="G43" s="31"/>
      <c r="H43" s="31"/>
      <c r="I43" s="31"/>
      <c r="J43" s="31"/>
      <c r="K43" s="31"/>
      <c r="L43" s="31"/>
      <c r="M43" s="31"/>
      <c r="N43" s="536"/>
    </row>
    <row r="44" spans="1:14" s="370" customFormat="1" ht="15.5">
      <c r="A44" s="873" t="s">
        <v>257</v>
      </c>
      <c r="B44" s="874"/>
      <c r="C44" s="874"/>
      <c r="D44" s="874"/>
      <c r="E44" s="874"/>
      <c r="F44" s="874"/>
      <c r="G44" s="550"/>
      <c r="H44" s="31"/>
      <c r="I44" s="31"/>
      <c r="J44" s="31"/>
      <c r="K44" s="31"/>
      <c r="L44" s="31"/>
      <c r="M44" s="31"/>
      <c r="N44" s="536"/>
    </row>
    <row r="45" spans="1:14" s="370" customFormat="1" ht="15.5">
      <c r="A45" s="875"/>
      <c r="B45" s="876"/>
      <c r="C45" s="876"/>
      <c r="D45" s="876"/>
      <c r="E45" s="876"/>
      <c r="F45" s="876"/>
      <c r="G45" s="551"/>
      <c r="H45" s="31"/>
      <c r="I45" s="31"/>
      <c r="J45" s="31"/>
      <c r="K45" s="31"/>
      <c r="L45" s="31"/>
      <c r="M45" s="31"/>
      <c r="N45" s="536"/>
    </row>
    <row r="46" spans="1:14" s="370" customFormat="1">
      <c r="A46" s="877" t="s">
        <v>258</v>
      </c>
      <c r="B46" s="878"/>
      <c r="C46" s="552"/>
      <c r="D46" s="552"/>
      <c r="E46" s="552"/>
      <c r="F46" s="552"/>
      <c r="G46" s="551"/>
      <c r="H46" s="31"/>
      <c r="I46" s="31"/>
      <c r="J46" s="31"/>
      <c r="K46" s="31"/>
      <c r="L46" s="31"/>
      <c r="M46" s="31"/>
      <c r="N46" s="536"/>
    </row>
    <row r="47" spans="1:14" s="370" customFormat="1">
      <c r="A47" s="553" t="s">
        <v>1028</v>
      </c>
      <c r="B47" s="554">
        <f>E40</f>
        <v>75</v>
      </c>
      <c r="C47" s="555"/>
      <c r="D47" s="556"/>
      <c r="E47" s="556"/>
      <c r="F47" s="556"/>
      <c r="G47" s="551"/>
      <c r="H47" s="31"/>
      <c r="I47" s="31"/>
      <c r="J47" s="31"/>
      <c r="K47" s="31"/>
      <c r="L47" s="31"/>
      <c r="M47" s="31"/>
      <c r="N47" s="536"/>
    </row>
    <row r="48" spans="1:14" s="370" customFormat="1">
      <c r="A48" s="557" t="s">
        <v>1029</v>
      </c>
      <c r="B48" s="558">
        <f>F40</f>
        <v>75</v>
      </c>
      <c r="C48" s="555"/>
      <c r="D48" s="556"/>
      <c r="E48" s="556"/>
      <c r="F48" s="556"/>
      <c r="G48" s="551"/>
      <c r="H48" s="31"/>
      <c r="I48" s="31"/>
      <c r="J48" s="31"/>
      <c r="K48" s="31"/>
      <c r="L48" s="31"/>
      <c r="M48" s="31"/>
      <c r="N48" s="536"/>
    </row>
    <row r="49" spans="1:14" s="370" customFormat="1">
      <c r="A49" s="559" t="s">
        <v>259</v>
      </c>
      <c r="B49" s="560">
        <f>B48-B47</f>
        <v>0</v>
      </c>
      <c r="C49" s="555"/>
      <c r="D49" s="556"/>
      <c r="E49" s="556"/>
      <c r="F49" s="556"/>
      <c r="G49" s="551"/>
      <c r="H49" s="31"/>
      <c r="I49" s="31"/>
      <c r="J49" s="31"/>
      <c r="K49" s="31"/>
      <c r="L49" s="31"/>
      <c r="M49" s="31"/>
      <c r="N49" s="536"/>
    </row>
    <row r="50" spans="1:14" s="370" customFormat="1">
      <c r="A50" s="559" t="s">
        <v>260</v>
      </c>
      <c r="B50" s="561">
        <f>B49/B47</f>
        <v>0</v>
      </c>
      <c r="C50" s="555"/>
      <c r="D50" s="556"/>
      <c r="E50" s="556"/>
      <c r="F50" s="556"/>
      <c r="G50" s="551"/>
      <c r="H50" s="31"/>
      <c r="I50" s="31"/>
      <c r="J50" s="31"/>
      <c r="K50" s="31"/>
      <c r="L50" s="31"/>
      <c r="M50" s="31"/>
      <c r="N50" s="536"/>
    </row>
    <row r="51" spans="1:14" s="370" customFormat="1">
      <c r="A51" s="562"/>
      <c r="B51" s="556"/>
      <c r="C51" s="660"/>
      <c r="D51" s="556"/>
      <c r="E51" s="556"/>
      <c r="F51" s="556"/>
      <c r="G51" s="551"/>
      <c r="H51" s="31"/>
      <c r="I51" s="31"/>
      <c r="J51" s="31"/>
      <c r="K51" s="31"/>
      <c r="L51" s="31"/>
      <c r="M51" s="31"/>
      <c r="N51" s="536"/>
    </row>
    <row r="52" spans="1:14" s="370" customFormat="1">
      <c r="A52" s="879" t="s">
        <v>261</v>
      </c>
      <c r="B52" s="880"/>
      <c r="C52" s="880"/>
      <c r="D52" s="880"/>
      <c r="E52" s="880"/>
      <c r="F52" s="880"/>
      <c r="G52" s="551"/>
      <c r="H52" s="31"/>
      <c r="I52" s="31"/>
      <c r="J52" s="31"/>
      <c r="K52" s="31"/>
      <c r="L52" s="31"/>
      <c r="M52" s="31"/>
      <c r="N52" s="536"/>
    </row>
    <row r="53" spans="1:14" s="370" customFormat="1" ht="86.5" customHeight="1">
      <c r="A53" s="881" t="s">
        <v>789</v>
      </c>
      <c r="B53" s="882"/>
      <c r="C53" s="882"/>
      <c r="D53" s="882"/>
      <c r="E53" s="882"/>
      <c r="F53" s="883"/>
      <c r="G53" s="551"/>
      <c r="H53" s="31"/>
      <c r="I53" s="31"/>
      <c r="J53" s="31"/>
      <c r="K53" s="31"/>
      <c r="L53" s="31"/>
      <c r="M53" s="31"/>
      <c r="N53" s="536"/>
    </row>
    <row r="54" spans="1:14" s="370" customFormat="1">
      <c r="A54" s="563"/>
      <c r="B54" s="564"/>
      <c r="C54" s="564"/>
      <c r="D54" s="564"/>
      <c r="E54" s="564"/>
      <c r="F54" s="564"/>
      <c r="G54" s="551"/>
      <c r="H54" s="31"/>
      <c r="I54" s="31"/>
      <c r="J54" s="31"/>
      <c r="K54" s="31"/>
      <c r="L54" s="31"/>
      <c r="M54" s="31"/>
      <c r="N54" s="536"/>
    </row>
    <row r="55" spans="1:14" s="370" customFormat="1">
      <c r="A55" s="565" t="s">
        <v>262</v>
      </c>
      <c r="B55" s="556"/>
      <c r="C55" s="660"/>
      <c r="D55" s="556"/>
      <c r="E55" s="556"/>
      <c r="F55" s="556"/>
      <c r="G55" s="551"/>
      <c r="H55" s="31"/>
      <c r="I55" s="31"/>
      <c r="J55" s="31"/>
      <c r="K55" s="31"/>
      <c r="L55" s="31"/>
      <c r="M55" s="31"/>
      <c r="N55" s="536"/>
    </row>
    <row r="56" spans="1:14" s="370" customFormat="1" ht="64.5" customHeight="1">
      <c r="A56" s="881" t="s">
        <v>790</v>
      </c>
      <c r="B56" s="882"/>
      <c r="C56" s="882"/>
      <c r="D56" s="882"/>
      <c r="E56" s="882"/>
      <c r="F56" s="883"/>
      <c r="G56" s="551"/>
      <c r="H56" s="31"/>
      <c r="I56" s="31"/>
      <c r="J56" s="31"/>
      <c r="K56" s="31"/>
      <c r="L56" s="31"/>
      <c r="M56" s="31"/>
      <c r="N56" s="536"/>
    </row>
    <row r="57" spans="1:14" s="370" customFormat="1">
      <c r="A57" s="562"/>
      <c r="B57" s="556"/>
      <c r="C57" s="660"/>
      <c r="D57" s="556"/>
      <c r="E57" s="556"/>
      <c r="F57" s="556"/>
      <c r="G57" s="551"/>
      <c r="H57" s="31"/>
      <c r="I57" s="31"/>
      <c r="J57" s="31"/>
      <c r="K57" s="31"/>
      <c r="L57" s="31"/>
      <c r="M57" s="31"/>
      <c r="N57" s="536"/>
    </row>
    <row r="58" spans="1:14" s="370" customFormat="1">
      <c r="A58" s="879" t="s">
        <v>1020</v>
      </c>
      <c r="B58" s="880"/>
      <c r="C58" s="880"/>
      <c r="D58" s="880"/>
      <c r="E58" s="880"/>
      <c r="F58" s="880"/>
      <c r="G58" s="551"/>
      <c r="H58" s="31"/>
      <c r="I58" s="31"/>
      <c r="J58" s="31"/>
      <c r="K58" s="31"/>
      <c r="L58" s="31"/>
      <c r="M58" s="31"/>
      <c r="N58" s="536"/>
    </row>
    <row r="59" spans="1:14" s="370" customFormat="1">
      <c r="A59" s="898" t="s">
        <v>1021</v>
      </c>
      <c r="B59" s="899"/>
      <c r="C59" s="899"/>
      <c r="D59" s="899"/>
      <c r="E59" s="899"/>
      <c r="F59" s="899"/>
      <c r="G59" s="551"/>
      <c r="H59" s="31"/>
      <c r="I59" s="31"/>
      <c r="J59" s="31"/>
      <c r="K59" s="31"/>
      <c r="L59" s="31"/>
      <c r="M59" s="31"/>
      <c r="N59" s="536"/>
    </row>
    <row r="60" spans="1:14" s="370" customFormat="1" ht="63" customHeight="1">
      <c r="A60" s="881" t="s">
        <v>791</v>
      </c>
      <c r="B60" s="882"/>
      <c r="C60" s="882"/>
      <c r="D60" s="882"/>
      <c r="E60" s="882"/>
      <c r="F60" s="883"/>
      <c r="G60" s="551"/>
      <c r="H60" s="31"/>
      <c r="I60" s="31"/>
      <c r="J60" s="31"/>
      <c r="K60" s="31"/>
      <c r="L60" s="31"/>
      <c r="M60" s="31"/>
      <c r="N60" s="536"/>
    </row>
    <row r="61" spans="1:14" s="370" customFormat="1">
      <c r="A61" s="565"/>
      <c r="B61" s="556"/>
      <c r="C61" s="660"/>
      <c r="D61" s="556"/>
      <c r="E61" s="556"/>
      <c r="F61" s="556"/>
      <c r="G61" s="551"/>
      <c r="H61" s="31"/>
      <c r="I61" s="31"/>
      <c r="J61" s="31"/>
      <c r="K61" s="31"/>
      <c r="L61" s="31"/>
      <c r="M61" s="31"/>
      <c r="N61" s="536"/>
    </row>
    <row r="62" spans="1:14" s="370" customFormat="1">
      <c r="A62" s="879" t="s">
        <v>264</v>
      </c>
      <c r="B62" s="880"/>
      <c r="C62" s="880"/>
      <c r="D62" s="880"/>
      <c r="E62" s="880"/>
      <c r="F62" s="556"/>
      <c r="G62" s="551"/>
      <c r="H62" s="31"/>
      <c r="I62" s="31"/>
      <c r="J62" s="31"/>
      <c r="K62" s="31"/>
      <c r="L62" s="31"/>
      <c r="M62" s="31"/>
      <c r="N62" s="536"/>
    </row>
    <row r="63" spans="1:14" s="370" customFormat="1" ht="50.5" customHeight="1">
      <c r="A63" s="900" t="s">
        <v>792</v>
      </c>
      <c r="B63" s="901"/>
      <c r="C63" s="901"/>
      <c r="D63" s="901"/>
      <c r="E63" s="901"/>
      <c r="F63" s="902"/>
      <c r="G63" s="551"/>
      <c r="H63" s="31"/>
      <c r="I63" s="31"/>
      <c r="J63" s="31"/>
      <c r="K63" s="31"/>
      <c r="L63" s="31"/>
      <c r="M63" s="31"/>
      <c r="N63" s="536"/>
    </row>
    <row r="64" spans="1:14" s="370" customFormat="1">
      <c r="A64" s="562"/>
      <c r="B64" s="556"/>
      <c r="C64" s="660"/>
      <c r="D64" s="556"/>
      <c r="E64" s="556"/>
      <c r="F64" s="556"/>
      <c r="G64" s="551"/>
      <c r="H64" s="31"/>
      <c r="I64" s="31"/>
      <c r="J64" s="31"/>
      <c r="K64" s="31"/>
      <c r="L64" s="31"/>
      <c r="M64" s="31"/>
      <c r="N64" s="536"/>
    </row>
    <row r="65" spans="1:14" s="370" customFormat="1">
      <c r="A65" s="565" t="s">
        <v>265</v>
      </c>
      <c r="B65" s="556"/>
      <c r="C65" s="660"/>
      <c r="D65" s="556"/>
      <c r="E65" s="556"/>
      <c r="F65" s="556"/>
      <c r="G65" s="551"/>
      <c r="H65" s="31"/>
      <c r="I65" s="31"/>
      <c r="J65" s="31"/>
      <c r="K65" s="31"/>
      <c r="L65" s="31"/>
      <c r="M65" s="31"/>
      <c r="N65" s="536"/>
    </row>
    <row r="66" spans="1:14" s="370" customFormat="1">
      <c r="A66" s="566" t="s">
        <v>266</v>
      </c>
      <c r="B66" s="556"/>
      <c r="C66" s="660"/>
      <c r="D66" s="556"/>
      <c r="E66" s="556"/>
      <c r="F66" s="556"/>
      <c r="G66" s="551"/>
      <c r="H66" s="31"/>
      <c r="I66" s="31"/>
      <c r="J66" s="31"/>
      <c r="K66" s="31"/>
      <c r="L66" s="31"/>
      <c r="M66" s="31"/>
      <c r="N66" s="536"/>
    </row>
    <row r="67" spans="1:14" s="370" customFormat="1" ht="26.25" customHeight="1">
      <c r="A67" s="892" t="s">
        <v>1030</v>
      </c>
      <c r="B67" s="893"/>
      <c r="C67" s="893"/>
      <c r="D67" s="893"/>
      <c r="E67" s="893"/>
      <c r="F67" s="893"/>
      <c r="G67" s="551"/>
      <c r="H67" s="31"/>
      <c r="I67" s="31"/>
      <c r="J67" s="31"/>
      <c r="K67" s="31"/>
      <c r="L67" s="31"/>
      <c r="M67" s="31"/>
      <c r="N67" s="536"/>
    </row>
    <row r="68" spans="1:14" s="370" customFormat="1" ht="54.65" customHeight="1">
      <c r="A68" s="903" t="s">
        <v>793</v>
      </c>
      <c r="B68" s="904"/>
      <c r="C68" s="904"/>
      <c r="D68" s="904"/>
      <c r="E68" s="904"/>
      <c r="F68" s="905"/>
      <c r="G68" s="551"/>
      <c r="H68" s="31"/>
      <c r="I68" s="31"/>
      <c r="J68" s="31"/>
      <c r="K68" s="31"/>
      <c r="L68" s="31"/>
      <c r="M68" s="31"/>
      <c r="N68" s="536"/>
    </row>
    <row r="69" spans="1:14" s="370" customFormat="1">
      <c r="A69" s="894"/>
      <c r="B69" s="895"/>
      <c r="C69" s="895"/>
      <c r="D69" s="895"/>
      <c r="E69" s="895"/>
      <c r="F69" s="895"/>
      <c r="G69" s="551"/>
      <c r="H69" s="31"/>
      <c r="I69" s="31"/>
      <c r="J69" s="31"/>
      <c r="K69" s="31"/>
      <c r="L69" s="31"/>
      <c r="M69" s="31"/>
      <c r="N69" s="536"/>
    </row>
    <row r="70" spans="1:14" s="370" customFormat="1">
      <c r="A70" s="566" t="s">
        <v>268</v>
      </c>
      <c r="B70" s="556"/>
      <c r="C70" s="660"/>
      <c r="D70" s="556"/>
      <c r="E70" s="556"/>
      <c r="F70" s="556"/>
      <c r="G70" s="551"/>
      <c r="H70" s="31"/>
      <c r="I70" s="31"/>
      <c r="J70" s="31"/>
      <c r="K70" s="31"/>
      <c r="L70" s="31"/>
      <c r="M70" s="31"/>
      <c r="N70" s="536"/>
    </row>
    <row r="71" spans="1:14" s="370" customFormat="1" ht="28.75" customHeight="1">
      <c r="A71" s="896" t="s">
        <v>269</v>
      </c>
      <c r="B71" s="897"/>
      <c r="C71" s="897"/>
      <c r="D71" s="897"/>
      <c r="E71" s="897"/>
      <c r="F71" s="897"/>
      <c r="G71" s="551"/>
      <c r="H71" s="31"/>
      <c r="I71" s="31"/>
      <c r="J71" s="31"/>
      <c r="K71" s="31"/>
      <c r="L71" s="31"/>
      <c r="M71" s="31"/>
      <c r="N71" s="536"/>
    </row>
    <row r="72" spans="1:14" s="370" customFormat="1" ht="30.75" customHeight="1">
      <c r="A72" s="900"/>
      <c r="B72" s="901"/>
      <c r="C72" s="901"/>
      <c r="D72" s="901"/>
      <c r="E72" s="901"/>
      <c r="F72" s="902"/>
      <c r="G72" s="551"/>
      <c r="H72" s="31"/>
      <c r="I72" s="31"/>
      <c r="J72" s="31"/>
      <c r="K72" s="31"/>
      <c r="L72" s="31"/>
      <c r="M72" s="31"/>
      <c r="N72" s="536"/>
    </row>
    <row r="73" spans="1:14" s="370" customFormat="1" ht="15" thickBot="1">
      <c r="A73" s="567"/>
      <c r="B73" s="568"/>
      <c r="C73" s="569"/>
      <c r="D73" s="568"/>
      <c r="E73" s="568"/>
      <c r="F73" s="568"/>
      <c r="G73" s="570"/>
      <c r="H73" s="31"/>
      <c r="I73" s="31"/>
      <c r="J73" s="31"/>
      <c r="K73" s="31"/>
      <c r="L73" s="31"/>
      <c r="M73" s="31"/>
      <c r="N73" s="536"/>
    </row>
    <row r="74" spans="1:14" s="370" customFormat="1">
      <c r="A74" s="31"/>
      <c r="B74" s="31"/>
      <c r="C74" s="32"/>
      <c r="D74" s="31"/>
      <c r="E74" s="31"/>
      <c r="F74" s="31"/>
      <c r="G74" s="31"/>
      <c r="H74" s="31"/>
      <c r="I74" s="31"/>
      <c r="J74" s="31"/>
      <c r="K74" s="31"/>
      <c r="L74" s="31"/>
      <c r="M74" s="31"/>
      <c r="N74" s="536"/>
    </row>
    <row r="75" spans="1:14" s="370" customFormat="1">
      <c r="A75" s="31"/>
      <c r="B75" s="31"/>
      <c r="C75" s="32"/>
      <c r="D75" s="31"/>
      <c r="E75" s="31"/>
      <c r="F75" s="31"/>
      <c r="G75" s="31"/>
      <c r="H75" s="31"/>
      <c r="I75" s="31"/>
      <c r="J75" s="31"/>
      <c r="K75" s="31"/>
      <c r="L75" s="31"/>
      <c r="M75" s="31"/>
      <c r="N75" s="536"/>
    </row>
    <row r="76" spans="1:14" s="370" customFormat="1">
      <c r="A76" s="31"/>
      <c r="B76" s="31"/>
      <c r="C76" s="32"/>
      <c r="D76" s="31"/>
      <c r="E76" s="31"/>
      <c r="F76" s="31"/>
      <c r="G76" s="31"/>
      <c r="H76" s="31"/>
      <c r="I76" s="31"/>
      <c r="J76" s="31"/>
      <c r="K76" s="31"/>
      <c r="L76" s="31"/>
      <c r="M76" s="31"/>
      <c r="N76" s="536"/>
    </row>
    <row r="77" spans="1:14" s="370" customFormat="1">
      <c r="A77" s="31"/>
      <c r="B77" s="31"/>
      <c r="C77" s="32"/>
      <c r="D77" s="31"/>
      <c r="E77" s="31"/>
      <c r="F77" s="31"/>
      <c r="G77" s="31"/>
      <c r="H77" s="31"/>
      <c r="I77" s="31"/>
      <c r="J77" s="31"/>
      <c r="K77" s="31"/>
      <c r="L77" s="31"/>
      <c r="M77" s="31"/>
      <c r="N77" s="536"/>
    </row>
    <row r="78" spans="1:14" s="370" customFormat="1">
      <c r="A78" s="31"/>
      <c r="B78" s="31"/>
      <c r="C78" s="32"/>
      <c r="D78" s="31"/>
      <c r="E78" s="31"/>
      <c r="F78" s="31"/>
      <c r="G78" s="31"/>
      <c r="H78" s="31"/>
      <c r="I78" s="31"/>
      <c r="J78" s="31"/>
      <c r="K78" s="31"/>
      <c r="L78" s="31"/>
      <c r="M78" s="31"/>
      <c r="N78" s="536"/>
    </row>
    <row r="79" spans="1:14" s="370" customFormat="1">
      <c r="A79" s="31"/>
      <c r="B79" s="31"/>
      <c r="C79" s="32"/>
      <c r="D79" s="31"/>
      <c r="E79" s="31"/>
      <c r="F79" s="31"/>
      <c r="G79" s="31"/>
      <c r="H79" s="31"/>
      <c r="I79" s="31"/>
      <c r="J79" s="31"/>
      <c r="K79" s="31"/>
      <c r="L79" s="31"/>
      <c r="M79" s="31"/>
      <c r="N79" s="536"/>
    </row>
    <row r="80" spans="1:14" s="370" customFormat="1">
      <c r="A80" s="31"/>
      <c r="B80" s="31"/>
      <c r="C80" s="32"/>
      <c r="D80" s="31"/>
      <c r="E80" s="31"/>
      <c r="F80" s="31"/>
      <c r="G80" s="31"/>
      <c r="H80" s="31"/>
      <c r="I80" s="31"/>
      <c r="J80" s="31"/>
      <c r="K80" s="31"/>
      <c r="L80" s="31"/>
      <c r="M80" s="31"/>
      <c r="N80" s="536"/>
    </row>
    <row r="81" spans="1:14" s="370" customFormat="1">
      <c r="A81" s="31"/>
      <c r="B81" s="31"/>
      <c r="C81" s="32"/>
      <c r="D81" s="31"/>
      <c r="E81" s="31"/>
      <c r="F81" s="31"/>
      <c r="G81" s="31"/>
      <c r="H81" s="31"/>
      <c r="I81" s="31"/>
      <c r="J81" s="31"/>
      <c r="K81" s="31"/>
      <c r="L81" s="31"/>
      <c r="M81" s="31"/>
      <c r="N81" s="536"/>
    </row>
    <row r="82" spans="1:14" s="370" customFormat="1">
      <c r="A82" s="31"/>
      <c r="B82" s="31"/>
      <c r="C82" s="32"/>
      <c r="D82" s="31"/>
      <c r="E82" s="31"/>
      <c r="F82" s="31"/>
      <c r="G82" s="31"/>
      <c r="H82" s="31"/>
      <c r="I82" s="31"/>
      <c r="J82" s="31"/>
      <c r="K82" s="31"/>
      <c r="L82" s="31"/>
      <c r="M82" s="31"/>
      <c r="N82" s="536"/>
    </row>
    <row r="83" spans="1:14" s="370" customFormat="1">
      <c r="A83" s="31"/>
      <c r="B83" s="31"/>
      <c r="C83" s="32"/>
      <c r="D83" s="31"/>
      <c r="E83" s="31"/>
      <c r="F83" s="31"/>
      <c r="G83" s="31"/>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A85" s="31"/>
      <c r="B85" s="31"/>
      <c r="C85" s="32"/>
      <c r="D85" s="31"/>
      <c r="E85" s="31"/>
      <c r="F85" s="31"/>
      <c r="G85" s="31"/>
      <c r="H85" s="31"/>
      <c r="I85" s="31"/>
      <c r="J85" s="31"/>
      <c r="K85" s="31"/>
      <c r="L85" s="31"/>
      <c r="M85" s="31"/>
      <c r="N85" s="536"/>
    </row>
    <row r="86" spans="1:14" s="370" customFormat="1">
      <c r="A86" s="31"/>
      <c r="B86" s="31"/>
      <c r="C86" s="32"/>
      <c r="D86" s="31"/>
      <c r="E86" s="31"/>
      <c r="F86" s="31"/>
      <c r="G86" s="31"/>
      <c r="H86" s="31"/>
      <c r="I86" s="31"/>
      <c r="J86" s="31"/>
      <c r="K86" s="31"/>
      <c r="L86" s="31"/>
      <c r="M86" s="31"/>
      <c r="N86" s="536"/>
    </row>
    <row r="87" spans="1:14" s="370" customFormat="1">
      <c r="A87" s="31"/>
      <c r="B87" s="31"/>
      <c r="C87" s="32"/>
      <c r="D87" s="31"/>
      <c r="E87" s="31"/>
      <c r="F87" s="31"/>
      <c r="G87" s="31"/>
      <c r="H87" s="31"/>
      <c r="I87" s="31"/>
      <c r="J87" s="31"/>
      <c r="K87" s="31"/>
      <c r="L87" s="31"/>
      <c r="M87" s="31"/>
      <c r="N87" s="536"/>
    </row>
  </sheetData>
  <mergeCells count="17">
    <mergeCell ref="A71:F71"/>
    <mergeCell ref="A72:F72"/>
    <mergeCell ref="A62:E62"/>
    <mergeCell ref="A63:F63"/>
    <mergeCell ref="A67:F67"/>
    <mergeCell ref="A68:F68"/>
    <mergeCell ref="A69:F69"/>
    <mergeCell ref="A53:F53"/>
    <mergeCell ref="A56:F56"/>
    <mergeCell ref="A58:F58"/>
    <mergeCell ref="A59:F59"/>
    <mergeCell ref="A60:F60"/>
    <mergeCell ref="A1:N1"/>
    <mergeCell ref="A44:F44"/>
    <mergeCell ref="A45:F45"/>
    <mergeCell ref="A46:B46"/>
    <mergeCell ref="A52:F52"/>
  </mergeCells>
  <printOptions horizontalCentered="1"/>
  <pageMargins left="0.2" right="0.2" top="0.75" bottom="0.75" header="0.3" footer="0.3"/>
  <pageSetup scale="63" orientation="landscape" r:id="rId1"/>
  <headerFooter>
    <oddHeader xml:space="preserve">&amp;CDRAFT NOT FOR DISTRIBUTION, INTERNAL USE ONLY
</oddHead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pageSetUpPr fitToPage="1"/>
  </sheetPr>
  <dimension ref="A1:N90"/>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0.81640625" customWidth="1"/>
    <col min="7" max="7" width="9.54296875" customWidth="1"/>
    <col min="8" max="8" width="8.453125" customWidth="1"/>
    <col min="9" max="9" width="7.1796875" customWidth="1"/>
    <col min="10" max="10" width="9.26953125" customWidth="1"/>
    <col min="11" max="11" width="7.7265625" customWidth="1"/>
    <col min="12" max="12" width="9.7265625" customWidth="1"/>
    <col min="13" max="13" width="9.1796875" customWidth="1"/>
    <col min="14" max="14" width="39.453125" bestFit="1" customWidth="1"/>
  </cols>
  <sheetData>
    <row r="1" spans="1:14" ht="15.5">
      <c r="A1" s="854" t="s">
        <v>346</v>
      </c>
      <c r="B1" s="854"/>
      <c r="C1" s="854"/>
      <c r="D1" s="854"/>
      <c r="E1" s="854"/>
      <c r="F1" s="854"/>
      <c r="G1" s="854"/>
      <c r="H1" s="854"/>
      <c r="I1" s="854"/>
      <c r="J1" s="854"/>
      <c r="K1" s="854"/>
      <c r="L1" s="854"/>
      <c r="M1" s="854"/>
      <c r="N1" s="854"/>
    </row>
    <row r="2" spans="1:14">
      <c r="A2" s="702" t="s">
        <v>742</v>
      </c>
      <c r="B2" s="370"/>
      <c r="C2" s="639"/>
      <c r="D2" s="370"/>
      <c r="E2" s="370"/>
      <c r="F2" s="370"/>
      <c r="G2" s="370"/>
      <c r="H2" s="370"/>
      <c r="I2" s="370"/>
      <c r="J2" s="370"/>
      <c r="K2" s="370"/>
      <c r="L2" s="370"/>
      <c r="M2" s="370"/>
      <c r="N2" s="370"/>
    </row>
    <row r="3" spans="1:14">
      <c r="A3" s="506" t="s">
        <v>1229</v>
      </c>
      <c r="B3" s="370"/>
      <c r="C3" s="639"/>
      <c r="D3" s="370"/>
      <c r="E3" s="370"/>
      <c r="F3" s="29"/>
      <c r="G3" s="451" t="s">
        <v>210</v>
      </c>
      <c r="H3" s="370"/>
      <c r="I3" s="370"/>
      <c r="J3" s="370"/>
      <c r="K3" s="370"/>
      <c r="L3" s="370"/>
      <c r="M3" s="370"/>
      <c r="N3" s="370"/>
    </row>
    <row r="4" spans="1:14">
      <c r="A4" s="506" t="s">
        <v>1590</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72.5">
      <c r="A7" s="36" t="s">
        <v>217</v>
      </c>
      <c r="B7" s="57" t="s">
        <v>741</v>
      </c>
      <c r="C7" s="37" t="s">
        <v>218</v>
      </c>
      <c r="D7" s="38">
        <v>0.11</v>
      </c>
      <c r="E7" s="258">
        <v>16</v>
      </c>
      <c r="F7" s="162">
        <f t="shared" ref="F7:F15" si="0">SUM(G7:M7)</f>
        <v>17</v>
      </c>
      <c r="G7" s="304">
        <v>0</v>
      </c>
      <c r="H7" s="304">
        <v>0</v>
      </c>
      <c r="I7" s="304">
        <v>0</v>
      </c>
      <c r="J7" s="304">
        <v>17</v>
      </c>
      <c r="K7" s="304">
        <v>0</v>
      </c>
      <c r="L7" s="304">
        <v>0</v>
      </c>
      <c r="M7" s="305">
        <v>0</v>
      </c>
      <c r="N7" s="318" t="s">
        <v>1036</v>
      </c>
    </row>
    <row r="8" spans="1:14" ht="29">
      <c r="A8" s="404" t="s">
        <v>217</v>
      </c>
      <c r="B8" s="57"/>
      <c r="C8" s="37" t="s">
        <v>218</v>
      </c>
      <c r="D8" s="39"/>
      <c r="E8" s="161">
        <v>0</v>
      </c>
      <c r="F8" s="162">
        <f t="shared" si="0"/>
        <v>0</v>
      </c>
      <c r="G8" s="163">
        <v>0</v>
      </c>
      <c r="H8" s="163">
        <v>0</v>
      </c>
      <c r="I8" s="163">
        <v>0</v>
      </c>
      <c r="J8" s="163">
        <v>0</v>
      </c>
      <c r="K8" s="163">
        <v>0</v>
      </c>
      <c r="L8" s="163">
        <v>0</v>
      </c>
      <c r="M8" s="164">
        <v>0</v>
      </c>
      <c r="N8" s="318" t="s">
        <v>1037</v>
      </c>
    </row>
    <row r="9" spans="1:14">
      <c r="A9" s="404" t="s">
        <v>217</v>
      </c>
      <c r="B9" s="259"/>
      <c r="C9" s="37" t="s">
        <v>218</v>
      </c>
      <c r="D9" s="39"/>
      <c r="E9" s="161">
        <v>0</v>
      </c>
      <c r="F9" s="162">
        <f t="shared" si="0"/>
        <v>0</v>
      </c>
      <c r="G9" s="163">
        <v>0</v>
      </c>
      <c r="H9" s="163">
        <v>0</v>
      </c>
      <c r="I9" s="163">
        <v>0</v>
      </c>
      <c r="J9" s="163">
        <v>0</v>
      </c>
      <c r="K9" s="163">
        <v>0</v>
      </c>
      <c r="L9" s="163">
        <v>0</v>
      </c>
      <c r="M9" s="164">
        <v>0</v>
      </c>
      <c r="N9" s="318"/>
    </row>
    <row r="10" spans="1:14" ht="15" customHeight="1">
      <c r="A10" s="36" t="s">
        <v>217</v>
      </c>
      <c r="B10" s="259"/>
      <c r="C10" s="37" t="s">
        <v>218</v>
      </c>
      <c r="D10" s="39"/>
      <c r="E10" s="161">
        <v>0</v>
      </c>
      <c r="F10" s="162">
        <f t="shared" si="0"/>
        <v>0</v>
      </c>
      <c r="G10" s="163">
        <v>0</v>
      </c>
      <c r="H10" s="163">
        <v>0</v>
      </c>
      <c r="I10" s="163">
        <v>0</v>
      </c>
      <c r="J10" s="163">
        <v>0</v>
      </c>
      <c r="K10" s="163">
        <v>0</v>
      </c>
      <c r="L10" s="163">
        <v>0</v>
      </c>
      <c r="M10" s="164">
        <v>0</v>
      </c>
      <c r="N10" s="57"/>
    </row>
    <row r="11" spans="1:14" ht="15" customHeight="1">
      <c r="A11" s="36" t="s">
        <v>217</v>
      </c>
      <c r="B11" s="36"/>
      <c r="C11" s="37" t="s">
        <v>218</v>
      </c>
      <c r="D11" s="39"/>
      <c r="E11" s="161">
        <v>0</v>
      </c>
      <c r="F11" s="162">
        <f t="shared" si="0"/>
        <v>0</v>
      </c>
      <c r="G11" s="163">
        <v>0</v>
      </c>
      <c r="H11" s="163">
        <v>0</v>
      </c>
      <c r="I11" s="163">
        <v>0</v>
      </c>
      <c r="J11" s="163">
        <v>0</v>
      </c>
      <c r="K11" s="163">
        <v>0</v>
      </c>
      <c r="L11" s="163">
        <v>0</v>
      </c>
      <c r="M11" s="164">
        <v>0</v>
      </c>
      <c r="N11" s="57"/>
    </row>
    <row r="12" spans="1:14" ht="15" customHeight="1">
      <c r="A12" s="36" t="s">
        <v>217</v>
      </c>
      <c r="B12" s="259"/>
      <c r="C12" s="37" t="s">
        <v>218</v>
      </c>
      <c r="D12" s="39"/>
      <c r="E12" s="161">
        <v>0</v>
      </c>
      <c r="F12" s="162">
        <f t="shared" si="0"/>
        <v>0</v>
      </c>
      <c r="G12" s="163">
        <v>0</v>
      </c>
      <c r="H12" s="163">
        <v>0</v>
      </c>
      <c r="I12" s="163">
        <v>0</v>
      </c>
      <c r="J12" s="163">
        <v>0</v>
      </c>
      <c r="K12" s="163">
        <v>0</v>
      </c>
      <c r="L12" s="163">
        <v>0</v>
      </c>
      <c r="M12" s="164">
        <v>0</v>
      </c>
      <c r="N12" s="57"/>
    </row>
    <row r="13" spans="1:14">
      <c r="A13" s="36" t="s">
        <v>217</v>
      </c>
      <c r="B13" s="259"/>
      <c r="C13" s="37" t="s">
        <v>218</v>
      </c>
      <c r="D13" s="39"/>
      <c r="E13" s="161">
        <v>0</v>
      </c>
      <c r="F13" s="162">
        <f t="shared" si="0"/>
        <v>0</v>
      </c>
      <c r="G13" s="163">
        <v>0</v>
      </c>
      <c r="H13" s="163">
        <v>0</v>
      </c>
      <c r="I13" s="163">
        <v>0</v>
      </c>
      <c r="J13" s="163">
        <v>0</v>
      </c>
      <c r="K13" s="163">
        <v>0</v>
      </c>
      <c r="L13" s="163">
        <v>0</v>
      </c>
      <c r="M13" s="164">
        <v>0</v>
      </c>
      <c r="N13" s="57"/>
    </row>
    <row r="14" spans="1:14">
      <c r="A14" s="36" t="s">
        <v>217</v>
      </c>
      <c r="B14" s="259"/>
      <c r="C14" s="37" t="s">
        <v>218</v>
      </c>
      <c r="D14" s="39"/>
      <c r="E14" s="161">
        <v>0</v>
      </c>
      <c r="F14" s="162">
        <f t="shared" si="0"/>
        <v>0</v>
      </c>
      <c r="G14" s="163">
        <v>0</v>
      </c>
      <c r="H14" s="163">
        <v>0</v>
      </c>
      <c r="I14" s="163">
        <v>0</v>
      </c>
      <c r="J14" s="163">
        <v>0</v>
      </c>
      <c r="K14" s="163">
        <v>0</v>
      </c>
      <c r="L14" s="163">
        <v>0</v>
      </c>
      <c r="M14" s="164">
        <v>0</v>
      </c>
      <c r="N14" s="57"/>
    </row>
    <row r="15" spans="1:14">
      <c r="A15" s="36" t="s">
        <v>217</v>
      </c>
      <c r="B15" s="260"/>
      <c r="C15" s="37" t="s">
        <v>218</v>
      </c>
      <c r="D15" s="39"/>
      <c r="E15" s="161">
        <v>0</v>
      </c>
      <c r="F15" s="162">
        <f t="shared" si="0"/>
        <v>0</v>
      </c>
      <c r="G15" s="163">
        <v>0</v>
      </c>
      <c r="H15" s="163">
        <v>0</v>
      </c>
      <c r="I15" s="163">
        <v>0</v>
      </c>
      <c r="J15" s="163">
        <v>0</v>
      </c>
      <c r="K15" s="163">
        <v>0</v>
      </c>
      <c r="L15" s="163">
        <v>0</v>
      </c>
      <c r="M15" s="164">
        <v>0</v>
      </c>
      <c r="N15" s="57"/>
    </row>
    <row r="16" spans="1:14">
      <c r="A16" s="40" t="s">
        <v>219</v>
      </c>
      <c r="B16" s="260"/>
      <c r="C16" s="261"/>
      <c r="D16" s="41">
        <f t="shared" ref="D16:M16" si="1">SUM(D7:D15)</f>
        <v>0.11</v>
      </c>
      <c r="E16" s="42">
        <f t="shared" si="1"/>
        <v>16</v>
      </c>
      <c r="F16" s="43">
        <f t="shared" si="1"/>
        <v>17</v>
      </c>
      <c r="G16" s="43">
        <f t="shared" si="1"/>
        <v>0</v>
      </c>
      <c r="H16" s="43">
        <f t="shared" si="1"/>
        <v>0</v>
      </c>
      <c r="I16" s="43">
        <f t="shared" si="1"/>
        <v>0</v>
      </c>
      <c r="J16" s="43">
        <f t="shared" si="1"/>
        <v>17</v>
      </c>
      <c r="K16" s="43">
        <f t="shared" si="1"/>
        <v>0</v>
      </c>
      <c r="L16" s="43">
        <f t="shared" si="1"/>
        <v>0</v>
      </c>
      <c r="M16" s="43">
        <f t="shared" si="1"/>
        <v>0</v>
      </c>
      <c r="N16" s="249"/>
    </row>
    <row r="17" spans="1:14">
      <c r="A17" s="67" t="s">
        <v>220</v>
      </c>
      <c r="B17" s="68"/>
      <c r="C17" s="69"/>
      <c r="D17" s="68"/>
      <c r="E17" s="68"/>
      <c r="F17" s="68"/>
      <c r="G17" s="68"/>
      <c r="H17" s="68"/>
      <c r="I17" s="68"/>
      <c r="J17" s="68"/>
      <c r="K17" s="68"/>
      <c r="L17" s="68"/>
      <c r="M17" s="68"/>
      <c r="N17" s="68"/>
    </row>
    <row r="18" spans="1:14" ht="58">
      <c r="A18" s="259" t="s">
        <v>278</v>
      </c>
      <c r="B18" s="544" t="s">
        <v>1038</v>
      </c>
      <c r="C18" s="44">
        <v>252</v>
      </c>
      <c r="D18" s="45"/>
      <c r="E18" s="258">
        <v>211</v>
      </c>
      <c r="F18" s="162">
        <f>SUM(G18:M18)</f>
        <v>220</v>
      </c>
      <c r="G18" s="304">
        <v>0</v>
      </c>
      <c r="H18" s="304">
        <v>0</v>
      </c>
      <c r="I18" s="304">
        <v>0</v>
      </c>
      <c r="J18" s="304">
        <v>220</v>
      </c>
      <c r="K18" s="304">
        <v>0</v>
      </c>
      <c r="L18" s="304">
        <v>0</v>
      </c>
      <c r="M18" s="305">
        <v>0</v>
      </c>
      <c r="N18" s="318" t="s">
        <v>1230</v>
      </c>
    </row>
    <row r="19" spans="1:14" ht="29">
      <c r="A19" s="259" t="s">
        <v>278</v>
      </c>
      <c r="B19" s="259"/>
      <c r="C19" s="44">
        <v>253</v>
      </c>
      <c r="D19" s="45"/>
      <c r="E19" s="161">
        <v>0</v>
      </c>
      <c r="F19" s="162">
        <f>SUM(G19:M19)</f>
        <v>826</v>
      </c>
      <c r="G19" s="163">
        <v>0</v>
      </c>
      <c r="H19" s="163">
        <v>0</v>
      </c>
      <c r="I19" s="163">
        <v>0</v>
      </c>
      <c r="J19" s="163">
        <v>826</v>
      </c>
      <c r="K19" s="163">
        <v>0</v>
      </c>
      <c r="L19" s="163">
        <v>0</v>
      </c>
      <c r="M19" s="164">
        <v>0</v>
      </c>
      <c r="N19" s="318" t="s">
        <v>1039</v>
      </c>
    </row>
    <row r="20" spans="1:14">
      <c r="A20" s="259" t="s">
        <v>278</v>
      </c>
      <c r="B20" s="259"/>
      <c r="C20" s="44">
        <v>253</v>
      </c>
      <c r="D20" s="262"/>
      <c r="E20" s="161">
        <v>0</v>
      </c>
      <c r="F20" s="162">
        <f>SUM(G20:M20)</f>
        <v>0</v>
      </c>
      <c r="G20" s="163">
        <v>0</v>
      </c>
      <c r="H20" s="163">
        <v>0</v>
      </c>
      <c r="I20" s="163">
        <v>0</v>
      </c>
      <c r="J20" s="163">
        <v>0</v>
      </c>
      <c r="K20" s="163">
        <v>0</v>
      </c>
      <c r="L20" s="163">
        <v>0</v>
      </c>
      <c r="M20" s="164">
        <v>0</v>
      </c>
      <c r="N20" s="57"/>
    </row>
    <row r="21" spans="1:14" s="7" customFormat="1">
      <c r="A21" s="259" t="s">
        <v>315</v>
      </c>
      <c r="B21" s="259"/>
      <c r="C21" s="44">
        <v>253</v>
      </c>
      <c r="D21" s="262"/>
      <c r="E21" s="161">
        <v>0</v>
      </c>
      <c r="F21" s="162">
        <f>SUM(G21:M21)</f>
        <v>0</v>
      </c>
      <c r="G21" s="163">
        <v>0</v>
      </c>
      <c r="H21" s="163">
        <v>0</v>
      </c>
      <c r="I21" s="163">
        <v>0</v>
      </c>
      <c r="J21" s="163">
        <v>0</v>
      </c>
      <c r="K21" s="163">
        <v>0</v>
      </c>
      <c r="L21" s="163">
        <v>0</v>
      </c>
      <c r="M21" s="164">
        <v>0</v>
      </c>
      <c r="N21" s="36"/>
    </row>
    <row r="22" spans="1:14">
      <c r="A22" s="40" t="s">
        <v>225</v>
      </c>
      <c r="B22" s="260"/>
      <c r="C22" s="261"/>
      <c r="D22" s="262">
        <f>SUM(D18:D21)</f>
        <v>0</v>
      </c>
      <c r="E22" s="42">
        <f>SUM(E18:E21)</f>
        <v>211</v>
      </c>
      <c r="F22" s="43">
        <f>SUM(F18:F21)</f>
        <v>1046</v>
      </c>
      <c r="G22" s="43">
        <f t="shared" ref="G22:M22" si="2">SUM(G18:G21)</f>
        <v>0</v>
      </c>
      <c r="H22" s="43">
        <f t="shared" si="2"/>
        <v>0</v>
      </c>
      <c r="I22" s="43">
        <f t="shared" si="2"/>
        <v>0</v>
      </c>
      <c r="J22" s="43">
        <f t="shared" si="2"/>
        <v>1046</v>
      </c>
      <c r="K22" s="43">
        <f t="shared" si="2"/>
        <v>0</v>
      </c>
      <c r="L22" s="43">
        <f t="shared" si="2"/>
        <v>0</v>
      </c>
      <c r="M22" s="43">
        <f t="shared" si="2"/>
        <v>0</v>
      </c>
      <c r="N22" s="57"/>
    </row>
    <row r="23" spans="1:14" s="7" customFormat="1">
      <c r="A23" s="125" t="s">
        <v>226</v>
      </c>
      <c r="B23" s="126"/>
      <c r="C23" s="126"/>
      <c r="D23" s="126"/>
      <c r="E23" s="126"/>
      <c r="F23" s="126"/>
      <c r="G23" s="126"/>
      <c r="H23" s="126"/>
      <c r="I23" s="126"/>
      <c r="J23" s="126"/>
      <c r="K23" s="126"/>
      <c r="L23" s="126"/>
      <c r="M23" s="126"/>
      <c r="N23" s="166"/>
    </row>
    <row r="24" spans="1:14" ht="47" customHeight="1">
      <c r="A24" s="259" t="s">
        <v>227</v>
      </c>
      <c r="B24" s="36"/>
      <c r="C24" s="37" t="s">
        <v>228</v>
      </c>
      <c r="D24" s="38">
        <v>0</v>
      </c>
      <c r="E24" s="161">
        <v>7</v>
      </c>
      <c r="F24" s="162">
        <f t="shared" ref="F24:F35" si="3">SUM(G24:M24)</f>
        <v>6</v>
      </c>
      <c r="G24" s="163">
        <v>0</v>
      </c>
      <c r="H24" s="163">
        <v>0</v>
      </c>
      <c r="I24" s="163">
        <v>0</v>
      </c>
      <c r="J24" s="163">
        <v>6</v>
      </c>
      <c r="K24" s="163">
        <v>0</v>
      </c>
      <c r="L24" s="163">
        <v>0</v>
      </c>
      <c r="M24" s="164">
        <v>0</v>
      </c>
      <c r="N24" s="318" t="s">
        <v>1040</v>
      </c>
    </row>
    <row r="25" spans="1:14">
      <c r="A25" s="259" t="s">
        <v>229</v>
      </c>
      <c r="B25" s="36"/>
      <c r="C25" s="44" t="s">
        <v>230</v>
      </c>
      <c r="D25" s="45"/>
      <c r="E25" s="161">
        <v>0</v>
      </c>
      <c r="F25" s="162">
        <f t="shared" si="3"/>
        <v>0</v>
      </c>
      <c r="G25" s="163">
        <v>0</v>
      </c>
      <c r="H25" s="163">
        <v>0</v>
      </c>
      <c r="I25" s="163">
        <v>0</v>
      </c>
      <c r="J25" s="163">
        <v>0</v>
      </c>
      <c r="K25" s="163">
        <v>0</v>
      </c>
      <c r="L25" s="163">
        <v>0</v>
      </c>
      <c r="M25" s="164">
        <v>0</v>
      </c>
      <c r="N25" s="57"/>
    </row>
    <row r="26" spans="1:14">
      <c r="A26" s="259" t="s">
        <v>231</v>
      </c>
      <c r="B26" s="36"/>
      <c r="C26" s="44" t="s">
        <v>232</v>
      </c>
      <c r="D26" s="45"/>
      <c r="E26" s="161">
        <v>0</v>
      </c>
      <c r="F26" s="162">
        <f t="shared" si="3"/>
        <v>0</v>
      </c>
      <c r="G26" s="163">
        <v>0</v>
      </c>
      <c r="H26" s="163">
        <v>0</v>
      </c>
      <c r="I26" s="163">
        <v>0</v>
      </c>
      <c r="J26" s="163">
        <v>0</v>
      </c>
      <c r="K26" s="163">
        <v>0</v>
      </c>
      <c r="L26" s="163">
        <v>0</v>
      </c>
      <c r="M26" s="164">
        <v>0</v>
      </c>
      <c r="N26" s="57"/>
    </row>
    <row r="27" spans="1:14">
      <c r="A27" s="259" t="s">
        <v>233</v>
      </c>
      <c r="B27" s="36"/>
      <c r="C27" s="44" t="s">
        <v>234</v>
      </c>
      <c r="D27" s="45"/>
      <c r="E27" s="161">
        <v>0</v>
      </c>
      <c r="F27" s="162">
        <f t="shared" si="3"/>
        <v>0</v>
      </c>
      <c r="G27" s="163">
        <v>0</v>
      </c>
      <c r="H27" s="163">
        <v>0</v>
      </c>
      <c r="I27" s="163">
        <v>0</v>
      </c>
      <c r="J27" s="163">
        <v>0</v>
      </c>
      <c r="K27" s="163">
        <v>0</v>
      </c>
      <c r="L27" s="163">
        <v>0</v>
      </c>
      <c r="M27" s="164">
        <v>0</v>
      </c>
      <c r="N27" s="57"/>
    </row>
    <row r="28" spans="1:14">
      <c r="A28" s="259" t="s">
        <v>235</v>
      </c>
      <c r="B28" s="36"/>
      <c r="C28" s="44">
        <v>251</v>
      </c>
      <c r="D28" s="45"/>
      <c r="E28" s="161">
        <v>0</v>
      </c>
      <c r="F28" s="162">
        <f t="shared" si="3"/>
        <v>0</v>
      </c>
      <c r="G28" s="163">
        <v>0</v>
      </c>
      <c r="H28" s="163">
        <v>0</v>
      </c>
      <c r="I28" s="163">
        <v>0</v>
      </c>
      <c r="J28" s="163">
        <v>0</v>
      </c>
      <c r="K28" s="163">
        <v>0</v>
      </c>
      <c r="L28" s="163">
        <v>0</v>
      </c>
      <c r="M28" s="164">
        <v>0</v>
      </c>
      <c r="N28" s="57"/>
    </row>
    <row r="29" spans="1:14">
      <c r="A29" s="94" t="s">
        <v>242</v>
      </c>
      <c r="B29" s="95"/>
      <c r="C29" s="96">
        <v>252</v>
      </c>
      <c r="D29" s="97"/>
      <c r="E29" s="168">
        <v>0</v>
      </c>
      <c r="F29" s="169">
        <f t="shared" si="3"/>
        <v>0</v>
      </c>
      <c r="G29" s="170">
        <v>0</v>
      </c>
      <c r="H29" s="170">
        <v>0</v>
      </c>
      <c r="I29" s="170">
        <v>0</v>
      </c>
      <c r="J29" s="170">
        <v>0</v>
      </c>
      <c r="K29" s="170">
        <v>0</v>
      </c>
      <c r="L29" s="170">
        <v>0</v>
      </c>
      <c r="M29" s="171">
        <v>0</v>
      </c>
      <c r="N29" s="172"/>
    </row>
    <row r="30" spans="1:14">
      <c r="A30" s="259" t="s">
        <v>243</v>
      </c>
      <c r="B30" s="36"/>
      <c r="C30" s="44">
        <v>252</v>
      </c>
      <c r="D30" s="45"/>
      <c r="E30" s="161">
        <v>0</v>
      </c>
      <c r="F30" s="162">
        <f t="shared" si="3"/>
        <v>0</v>
      </c>
      <c r="G30" s="163">
        <v>0</v>
      </c>
      <c r="H30" s="163">
        <v>0</v>
      </c>
      <c r="I30" s="163">
        <v>0</v>
      </c>
      <c r="J30" s="163">
        <v>0</v>
      </c>
      <c r="K30" s="163">
        <v>0</v>
      </c>
      <c r="L30" s="163">
        <v>0</v>
      </c>
      <c r="M30" s="164">
        <v>0</v>
      </c>
      <c r="N30" s="57"/>
    </row>
    <row r="31" spans="1:14">
      <c r="A31" s="259" t="s">
        <v>244</v>
      </c>
      <c r="B31" s="36"/>
      <c r="C31" s="44">
        <v>253</v>
      </c>
      <c r="D31" s="259"/>
      <c r="E31" s="161">
        <v>0</v>
      </c>
      <c r="F31" s="162">
        <f t="shared" si="3"/>
        <v>0</v>
      </c>
      <c r="G31" s="163">
        <v>0</v>
      </c>
      <c r="H31" s="163">
        <v>0</v>
      </c>
      <c r="I31" s="163">
        <v>0</v>
      </c>
      <c r="J31" s="163">
        <v>0</v>
      </c>
      <c r="K31" s="163">
        <v>0</v>
      </c>
      <c r="L31" s="163">
        <v>0</v>
      </c>
      <c r="M31" s="164">
        <v>0</v>
      </c>
      <c r="N31" s="57"/>
    </row>
    <row r="32" spans="1:14">
      <c r="A32" s="259" t="s">
        <v>245</v>
      </c>
      <c r="B32" s="36"/>
      <c r="C32" s="44">
        <v>255</v>
      </c>
      <c r="D32" s="259"/>
      <c r="E32" s="161">
        <v>0</v>
      </c>
      <c r="F32" s="162">
        <f t="shared" si="3"/>
        <v>0</v>
      </c>
      <c r="G32" s="163">
        <v>0</v>
      </c>
      <c r="H32" s="163">
        <v>0</v>
      </c>
      <c r="I32" s="163">
        <v>0</v>
      </c>
      <c r="J32" s="163">
        <v>0</v>
      </c>
      <c r="K32" s="163">
        <v>0</v>
      </c>
      <c r="L32" s="163">
        <v>0</v>
      </c>
      <c r="M32" s="164">
        <v>0</v>
      </c>
      <c r="N32" s="57"/>
    </row>
    <row r="33" spans="1:14">
      <c r="A33" s="259" t="s">
        <v>246</v>
      </c>
      <c r="B33" s="36"/>
      <c r="C33" s="44">
        <v>256</v>
      </c>
      <c r="D33" s="259"/>
      <c r="E33" s="161">
        <v>0</v>
      </c>
      <c r="F33" s="162">
        <f t="shared" si="3"/>
        <v>0</v>
      </c>
      <c r="G33" s="163">
        <v>0</v>
      </c>
      <c r="H33" s="163">
        <v>0</v>
      </c>
      <c r="I33" s="163">
        <v>0</v>
      </c>
      <c r="J33" s="163">
        <v>0</v>
      </c>
      <c r="K33" s="163">
        <v>0</v>
      </c>
      <c r="L33" s="163">
        <v>0</v>
      </c>
      <c r="M33" s="164">
        <v>0</v>
      </c>
      <c r="N33" s="57"/>
    </row>
    <row r="34" spans="1:14">
      <c r="A34" s="259" t="s">
        <v>247</v>
      </c>
      <c r="B34" s="36"/>
      <c r="C34" s="44">
        <v>257</v>
      </c>
      <c r="D34" s="259"/>
      <c r="E34" s="161">
        <v>0</v>
      </c>
      <c r="F34" s="162">
        <f t="shared" si="3"/>
        <v>0</v>
      </c>
      <c r="G34" s="163">
        <v>0</v>
      </c>
      <c r="H34" s="163">
        <v>0</v>
      </c>
      <c r="I34" s="163">
        <v>0</v>
      </c>
      <c r="J34" s="163">
        <v>0</v>
      </c>
      <c r="K34" s="163">
        <v>0</v>
      </c>
      <c r="L34" s="163">
        <v>0</v>
      </c>
      <c r="M34" s="164">
        <v>0</v>
      </c>
      <c r="N34" s="57"/>
    </row>
    <row r="35" spans="1:14">
      <c r="A35" s="259" t="s">
        <v>248</v>
      </c>
      <c r="B35" s="36"/>
      <c r="C35" s="44" t="s">
        <v>249</v>
      </c>
      <c r="D35" s="259"/>
      <c r="E35" s="161">
        <v>0</v>
      </c>
      <c r="F35" s="162">
        <f t="shared" si="3"/>
        <v>0</v>
      </c>
      <c r="G35" s="163">
        <v>0</v>
      </c>
      <c r="H35" s="163">
        <v>0</v>
      </c>
      <c r="I35" s="163">
        <v>0</v>
      </c>
      <c r="J35" s="163">
        <v>0</v>
      </c>
      <c r="K35" s="163">
        <v>0</v>
      </c>
      <c r="L35" s="163">
        <v>0</v>
      </c>
      <c r="M35" s="164">
        <v>0</v>
      </c>
      <c r="N35" s="57"/>
    </row>
    <row r="36" spans="1:14" s="370" customFormat="1">
      <c r="A36" s="260" t="s">
        <v>250</v>
      </c>
      <c r="B36" s="36"/>
      <c r="C36" s="261" t="s">
        <v>251</v>
      </c>
      <c r="D36" s="260"/>
      <c r="E36" s="161">
        <v>0</v>
      </c>
      <c r="F36" s="303">
        <f>SUM(G36:M36)</f>
        <v>0</v>
      </c>
      <c r="G36" s="163">
        <v>0</v>
      </c>
      <c r="H36" s="163">
        <v>0</v>
      </c>
      <c r="I36" s="163">
        <v>0</v>
      </c>
      <c r="J36" s="163">
        <v>0</v>
      </c>
      <c r="K36" s="163">
        <v>0</v>
      </c>
      <c r="L36" s="163">
        <v>0</v>
      </c>
      <c r="M36" s="164">
        <v>0</v>
      </c>
      <c r="N36" s="57"/>
    </row>
    <row r="37" spans="1:14">
      <c r="A37" s="260" t="s">
        <v>252</v>
      </c>
      <c r="B37" s="378"/>
      <c r="C37" s="261" t="s">
        <v>253</v>
      </c>
      <c r="D37" s="260"/>
      <c r="E37" s="311">
        <v>0</v>
      </c>
      <c r="F37" s="303">
        <f>SUM(G37:M37)</f>
        <v>0</v>
      </c>
      <c r="G37" s="163">
        <v>0</v>
      </c>
      <c r="H37" s="163">
        <v>0</v>
      </c>
      <c r="I37" s="163">
        <v>0</v>
      </c>
      <c r="J37" s="163">
        <f>-117+117</f>
        <v>0</v>
      </c>
      <c r="K37" s="163">
        <v>0</v>
      </c>
      <c r="L37" s="163">
        <v>0</v>
      </c>
      <c r="M37" s="164">
        <v>0</v>
      </c>
      <c r="N37" s="318"/>
    </row>
    <row r="38" spans="1:14">
      <c r="A38" s="40" t="s">
        <v>254</v>
      </c>
      <c r="B38" s="260"/>
      <c r="C38" s="261"/>
      <c r="D38" s="262"/>
      <c r="E38" s="42">
        <f>SUM(E24:E37)</f>
        <v>7</v>
      </c>
      <c r="F38" s="43">
        <f t="shared" ref="F38:M38" si="4">SUM(F24:F37)</f>
        <v>6</v>
      </c>
      <c r="G38" s="43">
        <f t="shared" si="4"/>
        <v>0</v>
      </c>
      <c r="H38" s="43">
        <f t="shared" si="4"/>
        <v>0</v>
      </c>
      <c r="I38" s="43">
        <f t="shared" si="4"/>
        <v>0</v>
      </c>
      <c r="J38" s="43">
        <f t="shared" si="4"/>
        <v>6</v>
      </c>
      <c r="K38" s="43">
        <f t="shared" si="4"/>
        <v>0</v>
      </c>
      <c r="L38" s="43">
        <f t="shared" si="4"/>
        <v>0</v>
      </c>
      <c r="M38" s="43">
        <f t="shared" si="4"/>
        <v>0</v>
      </c>
      <c r="N38" s="57"/>
    </row>
    <row r="39" spans="1:14" s="149" customFormat="1">
      <c r="A39" s="40" t="s">
        <v>255</v>
      </c>
      <c r="B39" s="51"/>
      <c r="C39" s="147"/>
      <c r="D39" s="262"/>
      <c r="E39" s="236"/>
      <c r="F39" s="235">
        <v>0</v>
      </c>
      <c r="G39" s="235"/>
      <c r="H39" s="235">
        <v>0</v>
      </c>
      <c r="I39" s="235"/>
      <c r="J39" s="235"/>
      <c r="K39" s="235"/>
      <c r="L39" s="235"/>
      <c r="M39" s="235"/>
      <c r="N39" s="348"/>
    </row>
    <row r="40" spans="1:14">
      <c r="A40" s="40" t="s">
        <v>256</v>
      </c>
      <c r="B40" s="46"/>
      <c r="C40" s="47"/>
      <c r="D40" s="175">
        <f>D38+D22+D16</f>
        <v>0.11</v>
      </c>
      <c r="E40" s="42">
        <f>E38+E22+E16-E39</f>
        <v>234</v>
      </c>
      <c r="F40" s="173">
        <f t="shared" ref="F40:M40" si="5">F38+F22+F16-F39</f>
        <v>1069</v>
      </c>
      <c r="G40" s="173">
        <f t="shared" si="5"/>
        <v>0</v>
      </c>
      <c r="H40" s="173">
        <f t="shared" si="5"/>
        <v>0</v>
      </c>
      <c r="I40" s="173">
        <f t="shared" si="5"/>
        <v>0</v>
      </c>
      <c r="J40" s="173">
        <f t="shared" si="5"/>
        <v>1069</v>
      </c>
      <c r="K40" s="173">
        <f t="shared" si="5"/>
        <v>0</v>
      </c>
      <c r="L40" s="173">
        <f t="shared" si="5"/>
        <v>0</v>
      </c>
      <c r="M40" s="173">
        <f t="shared" si="5"/>
        <v>0</v>
      </c>
      <c r="N40" s="174"/>
    </row>
    <row r="43" spans="1:14" s="370" customFormat="1" ht="15" thickBot="1">
      <c r="A43" s="31"/>
      <c r="B43" s="31"/>
      <c r="C43" s="32"/>
      <c r="D43" s="31"/>
      <c r="E43" s="31"/>
      <c r="F43" s="31"/>
      <c r="G43" s="31"/>
      <c r="H43" s="31"/>
      <c r="I43" s="31"/>
      <c r="J43" s="31"/>
      <c r="K43" s="31"/>
      <c r="L43" s="31"/>
      <c r="M43" s="31"/>
      <c r="N43" s="536"/>
    </row>
    <row r="44" spans="1:14" s="370" customFormat="1" ht="15.5">
      <c r="A44" s="873" t="s">
        <v>257</v>
      </c>
      <c r="B44" s="874"/>
      <c r="C44" s="874"/>
      <c r="D44" s="874"/>
      <c r="E44" s="874"/>
      <c r="F44" s="874"/>
      <c r="G44" s="550"/>
      <c r="H44" s="31"/>
      <c r="I44" s="31"/>
      <c r="J44" s="31"/>
      <c r="K44" s="31"/>
      <c r="L44" s="31"/>
      <c r="M44" s="31"/>
      <c r="N44" s="536"/>
    </row>
    <row r="45" spans="1:14" s="370" customFormat="1" ht="15.5">
      <c r="A45" s="875"/>
      <c r="B45" s="876"/>
      <c r="C45" s="876"/>
      <c r="D45" s="876"/>
      <c r="E45" s="876"/>
      <c r="F45" s="876"/>
      <c r="G45" s="551"/>
      <c r="H45" s="31"/>
      <c r="I45" s="31"/>
      <c r="J45" s="31"/>
      <c r="K45" s="31"/>
      <c r="L45" s="31"/>
      <c r="M45" s="31"/>
      <c r="N45" s="536"/>
    </row>
    <row r="46" spans="1:14" s="370" customFormat="1">
      <c r="A46" s="877" t="s">
        <v>258</v>
      </c>
      <c r="B46" s="878"/>
      <c r="C46" s="552"/>
      <c r="D46" s="552"/>
      <c r="E46" s="552"/>
      <c r="F46" s="552"/>
      <c r="G46" s="551"/>
      <c r="H46" s="31"/>
      <c r="I46" s="31"/>
      <c r="J46" s="31"/>
      <c r="K46" s="31"/>
      <c r="L46" s="31"/>
      <c r="M46" s="31"/>
      <c r="N46" s="536"/>
    </row>
    <row r="47" spans="1:14" s="370" customFormat="1">
      <c r="A47" s="553" t="s">
        <v>1028</v>
      </c>
      <c r="B47" s="554">
        <f>E40</f>
        <v>234</v>
      </c>
      <c r="C47" s="555"/>
      <c r="D47" s="556"/>
      <c r="E47" s="556"/>
      <c r="F47" s="556"/>
      <c r="G47" s="551"/>
      <c r="H47" s="31"/>
      <c r="I47" s="31"/>
      <c r="J47" s="31"/>
      <c r="K47" s="31"/>
      <c r="L47" s="31"/>
      <c r="M47" s="31"/>
      <c r="N47" s="536"/>
    </row>
    <row r="48" spans="1:14" s="370" customFormat="1">
      <c r="A48" s="557" t="s">
        <v>1029</v>
      </c>
      <c r="B48" s="558">
        <f>F40</f>
        <v>1069</v>
      </c>
      <c r="C48" s="555"/>
      <c r="D48" s="556"/>
      <c r="E48" s="556"/>
      <c r="F48" s="556"/>
      <c r="G48" s="551"/>
      <c r="H48" s="31"/>
      <c r="I48" s="31"/>
      <c r="J48" s="31"/>
      <c r="K48" s="31"/>
      <c r="L48" s="31"/>
      <c r="M48" s="31"/>
      <c r="N48" s="536"/>
    </row>
    <row r="49" spans="1:14" s="370" customFormat="1">
      <c r="A49" s="559" t="s">
        <v>259</v>
      </c>
      <c r="B49" s="560">
        <f>B48-B47</f>
        <v>835</v>
      </c>
      <c r="C49" s="555"/>
      <c r="D49" s="556"/>
      <c r="E49" s="556"/>
      <c r="F49" s="556"/>
      <c r="G49" s="551"/>
      <c r="H49" s="31"/>
      <c r="I49" s="31"/>
      <c r="J49" s="31"/>
      <c r="K49" s="31"/>
      <c r="L49" s="31"/>
      <c r="M49" s="31"/>
      <c r="N49" s="536"/>
    </row>
    <row r="50" spans="1:14" s="370" customFormat="1">
      <c r="A50" s="559" t="s">
        <v>260</v>
      </c>
      <c r="B50" s="561">
        <f>B49/B47</f>
        <v>3.5683760683760686</v>
      </c>
      <c r="C50" s="555"/>
      <c r="D50" s="556"/>
      <c r="E50" s="556"/>
      <c r="F50" s="556"/>
      <c r="G50" s="551"/>
      <c r="H50" s="31"/>
      <c r="I50" s="31"/>
      <c r="J50" s="31"/>
      <c r="K50" s="31"/>
      <c r="L50" s="31"/>
      <c r="M50" s="31"/>
      <c r="N50" s="536"/>
    </row>
    <row r="51" spans="1:14" s="370" customFormat="1">
      <c r="A51" s="562"/>
      <c r="B51" s="556"/>
      <c r="C51" s="660"/>
      <c r="D51" s="556"/>
      <c r="E51" s="556"/>
      <c r="F51" s="556"/>
      <c r="G51" s="551"/>
      <c r="H51" s="31"/>
      <c r="I51" s="31"/>
      <c r="J51" s="31"/>
      <c r="K51" s="31"/>
      <c r="L51" s="31"/>
      <c r="M51" s="31"/>
      <c r="N51" s="536"/>
    </row>
    <row r="52" spans="1:14" s="370" customFormat="1">
      <c r="A52" s="879" t="s">
        <v>261</v>
      </c>
      <c r="B52" s="880"/>
      <c r="C52" s="880"/>
      <c r="D52" s="880"/>
      <c r="E52" s="880"/>
      <c r="F52" s="880"/>
      <c r="G52" s="551"/>
      <c r="H52" s="31"/>
      <c r="I52" s="31"/>
      <c r="J52" s="31"/>
      <c r="K52" s="31"/>
      <c r="L52" s="31"/>
      <c r="M52" s="31"/>
      <c r="N52" s="536"/>
    </row>
    <row r="53" spans="1:14" s="370" customFormat="1" ht="40.5" customHeight="1">
      <c r="A53" s="900" t="s">
        <v>1041</v>
      </c>
      <c r="B53" s="901"/>
      <c r="C53" s="901"/>
      <c r="D53" s="901"/>
      <c r="E53" s="901"/>
      <c r="F53" s="902"/>
      <c r="G53" s="551"/>
      <c r="H53" s="31"/>
      <c r="I53" s="31"/>
      <c r="J53" s="31"/>
      <c r="K53" s="31"/>
      <c r="L53" s="31"/>
      <c r="M53" s="31"/>
      <c r="N53" s="536"/>
    </row>
    <row r="54" spans="1:14" s="370" customFormat="1">
      <c r="A54" s="563"/>
      <c r="B54" s="564"/>
      <c r="C54" s="564"/>
      <c r="D54" s="564"/>
      <c r="E54" s="564"/>
      <c r="F54" s="564"/>
      <c r="G54" s="551"/>
      <c r="H54" s="31"/>
      <c r="I54" s="31"/>
      <c r="J54" s="31"/>
      <c r="K54" s="31"/>
      <c r="L54" s="31"/>
      <c r="M54" s="31"/>
      <c r="N54" s="536"/>
    </row>
    <row r="55" spans="1:14" s="370" customFormat="1">
      <c r="A55" s="565" t="s">
        <v>262</v>
      </c>
      <c r="B55" s="556"/>
      <c r="C55" s="722"/>
      <c r="D55" s="556"/>
      <c r="E55" s="556"/>
      <c r="F55" s="556"/>
      <c r="G55" s="551"/>
      <c r="H55" s="31"/>
      <c r="I55" s="31"/>
      <c r="J55" s="31"/>
      <c r="K55" s="31"/>
      <c r="L55" s="31"/>
      <c r="M55" s="31"/>
      <c r="N55" s="536"/>
    </row>
    <row r="56" spans="1:14" s="370" customFormat="1" ht="222.5" customHeight="1">
      <c r="A56" s="900" t="s">
        <v>1042</v>
      </c>
      <c r="B56" s="890"/>
      <c r="C56" s="890"/>
      <c r="D56" s="890"/>
      <c r="E56" s="890"/>
      <c r="F56" s="891"/>
      <c r="G56" s="551"/>
      <c r="H56" s="31"/>
      <c r="I56" s="31"/>
      <c r="J56" s="31"/>
      <c r="K56" s="31"/>
      <c r="L56" s="31"/>
      <c r="M56" s="31"/>
      <c r="N56" s="536"/>
    </row>
    <row r="57" spans="1:14" s="370" customFormat="1">
      <c r="A57" s="562"/>
      <c r="B57" s="556"/>
      <c r="C57" s="722"/>
      <c r="D57" s="556"/>
      <c r="E57" s="556"/>
      <c r="F57" s="556"/>
      <c r="G57" s="551"/>
      <c r="H57" s="31"/>
      <c r="I57" s="31"/>
      <c r="J57" s="31"/>
      <c r="K57" s="31"/>
      <c r="L57" s="31"/>
      <c r="M57" s="31"/>
      <c r="N57" s="536"/>
    </row>
    <row r="58" spans="1:14" s="370" customFormat="1">
      <c r="A58" s="879" t="s">
        <v>1020</v>
      </c>
      <c r="B58" s="880"/>
      <c r="C58" s="880"/>
      <c r="D58" s="880"/>
      <c r="E58" s="880"/>
      <c r="F58" s="880"/>
      <c r="G58" s="551"/>
      <c r="H58" s="31"/>
      <c r="I58" s="31"/>
      <c r="J58" s="31"/>
      <c r="K58" s="31"/>
      <c r="L58" s="31"/>
      <c r="M58" s="31"/>
      <c r="N58" s="536"/>
    </row>
    <row r="59" spans="1:14" s="370" customFormat="1">
      <c r="A59" s="898" t="s">
        <v>1021</v>
      </c>
      <c r="B59" s="899"/>
      <c r="C59" s="899"/>
      <c r="D59" s="899"/>
      <c r="E59" s="899"/>
      <c r="F59" s="899"/>
      <c r="G59" s="551"/>
      <c r="H59" s="31"/>
      <c r="I59" s="31"/>
      <c r="J59" s="31"/>
      <c r="K59" s="31"/>
      <c r="L59" s="31"/>
      <c r="M59" s="31"/>
      <c r="N59" s="536"/>
    </row>
    <row r="60" spans="1:14" s="370" customFormat="1" ht="290.5" customHeight="1">
      <c r="A60" s="881" t="s">
        <v>1043</v>
      </c>
      <c r="B60" s="885"/>
      <c r="C60" s="885"/>
      <c r="D60" s="885"/>
      <c r="E60" s="885"/>
      <c r="F60" s="886"/>
      <c r="G60" s="551"/>
      <c r="H60" s="31"/>
      <c r="I60" s="31"/>
      <c r="J60" s="31"/>
      <c r="K60" s="31"/>
      <c r="L60" s="31"/>
      <c r="M60" s="31"/>
      <c r="N60" s="536"/>
    </row>
    <row r="61" spans="1:14" s="370" customFormat="1">
      <c r="A61" s="565"/>
      <c r="B61" s="556"/>
      <c r="C61" s="722"/>
      <c r="D61" s="556"/>
      <c r="E61" s="556"/>
      <c r="F61" s="556"/>
      <c r="G61" s="551"/>
      <c r="H61" s="31"/>
      <c r="I61" s="31"/>
      <c r="J61" s="31"/>
      <c r="K61" s="31"/>
      <c r="L61" s="31"/>
      <c r="M61" s="31"/>
      <c r="N61" s="536"/>
    </row>
    <row r="62" spans="1:14" s="370" customFormat="1">
      <c r="A62" s="879" t="s">
        <v>264</v>
      </c>
      <c r="B62" s="880"/>
      <c r="C62" s="880"/>
      <c r="D62" s="880"/>
      <c r="E62" s="880"/>
      <c r="F62" s="556"/>
      <c r="G62" s="551"/>
      <c r="H62" s="31"/>
      <c r="I62" s="31"/>
      <c r="J62" s="31"/>
      <c r="K62" s="31"/>
      <c r="L62" s="31"/>
      <c r="M62" s="31"/>
      <c r="N62" s="536"/>
    </row>
    <row r="63" spans="1:14" s="370" customFormat="1" ht="123.5" customHeight="1">
      <c r="A63" s="900" t="s">
        <v>1044</v>
      </c>
      <c r="B63" s="890"/>
      <c r="C63" s="890"/>
      <c r="D63" s="890"/>
      <c r="E63" s="890"/>
      <c r="F63" s="891"/>
      <c r="G63" s="551"/>
      <c r="H63" s="31"/>
      <c r="I63" s="31"/>
      <c r="J63" s="31"/>
      <c r="K63" s="31"/>
      <c r="L63" s="31"/>
      <c r="M63" s="31"/>
      <c r="N63" s="536"/>
    </row>
    <row r="64" spans="1:14" s="370" customFormat="1">
      <c r="A64" s="562"/>
      <c r="B64" s="556"/>
      <c r="C64" s="722"/>
      <c r="D64" s="556"/>
      <c r="E64" s="556"/>
      <c r="F64" s="556"/>
      <c r="G64" s="551"/>
      <c r="H64" s="31"/>
      <c r="I64" s="31"/>
      <c r="J64" s="31"/>
      <c r="K64" s="31"/>
      <c r="L64" s="31"/>
      <c r="M64" s="31"/>
      <c r="N64" s="536"/>
    </row>
    <row r="65" spans="1:14" s="370" customFormat="1">
      <c r="A65" s="565" t="s">
        <v>265</v>
      </c>
      <c r="B65" s="556"/>
      <c r="C65" s="722"/>
      <c r="D65" s="556"/>
      <c r="E65" s="556"/>
      <c r="F65" s="556"/>
      <c r="G65" s="551"/>
      <c r="H65" s="31"/>
      <c r="I65" s="31"/>
      <c r="J65" s="31"/>
      <c r="K65" s="31"/>
      <c r="L65" s="31"/>
      <c r="M65" s="31"/>
      <c r="N65" s="536"/>
    </row>
    <row r="66" spans="1:14" s="370" customFormat="1">
      <c r="A66" s="566" t="s">
        <v>266</v>
      </c>
      <c r="B66" s="556"/>
      <c r="C66" s="722"/>
      <c r="D66" s="556"/>
      <c r="E66" s="556"/>
      <c r="F66" s="556"/>
      <c r="G66" s="551"/>
      <c r="H66" s="31"/>
      <c r="I66" s="31"/>
      <c r="J66" s="31"/>
      <c r="K66" s="31"/>
      <c r="L66" s="31"/>
      <c r="M66" s="31"/>
      <c r="N66" s="536"/>
    </row>
    <row r="67" spans="1:14" s="370" customFormat="1" ht="26.25" customHeight="1">
      <c r="A67" s="892" t="s">
        <v>1030</v>
      </c>
      <c r="B67" s="893"/>
      <c r="C67" s="893"/>
      <c r="D67" s="893"/>
      <c r="E67" s="893"/>
      <c r="F67" s="893"/>
      <c r="G67" s="551"/>
      <c r="H67" s="31"/>
      <c r="I67" s="31"/>
      <c r="J67" s="31"/>
      <c r="K67" s="31"/>
      <c r="L67" s="31"/>
      <c r="M67" s="31"/>
      <c r="N67" s="536"/>
    </row>
    <row r="68" spans="1:14" s="370" customFormat="1" ht="47.5" customHeight="1">
      <c r="A68" s="900" t="s">
        <v>1045</v>
      </c>
      <c r="B68" s="901"/>
      <c r="C68" s="901"/>
      <c r="D68" s="901"/>
      <c r="E68" s="901"/>
      <c r="F68" s="902"/>
      <c r="G68" s="551"/>
      <c r="H68" s="31"/>
      <c r="I68" s="31"/>
      <c r="J68" s="31"/>
      <c r="K68" s="31"/>
      <c r="L68" s="31"/>
      <c r="M68" s="31"/>
      <c r="N68" s="536"/>
    </row>
    <row r="69" spans="1:14" s="370" customFormat="1">
      <c r="A69" s="894"/>
      <c r="B69" s="895"/>
      <c r="C69" s="895"/>
      <c r="D69" s="895"/>
      <c r="E69" s="895"/>
      <c r="F69" s="895"/>
      <c r="G69" s="551"/>
      <c r="H69" s="31"/>
      <c r="I69" s="31"/>
      <c r="J69" s="31"/>
      <c r="K69" s="31"/>
      <c r="L69" s="31"/>
      <c r="M69" s="31"/>
      <c r="N69" s="536"/>
    </row>
    <row r="70" spans="1:14" s="370" customFormat="1">
      <c r="A70" s="566" t="s">
        <v>268</v>
      </c>
      <c r="B70" s="556"/>
      <c r="C70" s="722"/>
      <c r="D70" s="556"/>
      <c r="E70" s="556"/>
      <c r="F70" s="556"/>
      <c r="G70" s="551"/>
      <c r="H70" s="31"/>
      <c r="I70" s="31"/>
      <c r="J70" s="31"/>
      <c r="K70" s="31"/>
      <c r="L70" s="31"/>
      <c r="M70" s="31"/>
      <c r="N70" s="536"/>
    </row>
    <row r="71" spans="1:14" s="370" customFormat="1" ht="41" customHeight="1">
      <c r="A71" s="896" t="s">
        <v>269</v>
      </c>
      <c r="B71" s="897"/>
      <c r="C71" s="897"/>
      <c r="D71" s="897"/>
      <c r="E71" s="897"/>
      <c r="F71" s="897"/>
      <c r="G71" s="551"/>
      <c r="H71" s="31"/>
      <c r="I71" s="31"/>
      <c r="J71" s="31"/>
      <c r="K71" s="31"/>
      <c r="L71" s="31"/>
      <c r="M71" s="31"/>
      <c r="N71" s="536"/>
    </row>
    <row r="72" spans="1:14" s="370" customFormat="1" ht="393.5" customHeight="1">
      <c r="A72" s="900" t="s">
        <v>1261</v>
      </c>
      <c r="B72" s="890"/>
      <c r="C72" s="890"/>
      <c r="D72" s="890"/>
      <c r="E72" s="890"/>
      <c r="F72" s="891"/>
      <c r="G72" s="551"/>
      <c r="H72" s="31"/>
      <c r="I72" s="31"/>
      <c r="J72" s="31"/>
      <c r="K72" s="31"/>
      <c r="L72" s="31"/>
      <c r="M72" s="31"/>
      <c r="N72" s="536"/>
    </row>
    <row r="73" spans="1:14" s="370" customFormat="1" ht="15" thickBot="1">
      <c r="A73" s="567"/>
      <c r="B73" s="568"/>
      <c r="C73" s="569"/>
      <c r="D73" s="568"/>
      <c r="E73" s="568"/>
      <c r="F73" s="568"/>
      <c r="G73" s="570"/>
      <c r="H73" s="31"/>
      <c r="I73" s="31"/>
      <c r="J73" s="31"/>
      <c r="K73" s="31"/>
      <c r="L73" s="31"/>
      <c r="M73" s="31"/>
      <c r="N73" s="536"/>
    </row>
    <row r="74" spans="1:14" s="370" customFormat="1">
      <c r="A74" s="31"/>
      <c r="B74" s="31"/>
      <c r="C74" s="32"/>
      <c r="D74" s="31"/>
      <c r="E74" s="31"/>
      <c r="F74" s="31"/>
      <c r="G74" s="31"/>
      <c r="H74" s="31"/>
      <c r="I74" s="31"/>
      <c r="J74" s="31"/>
      <c r="K74" s="31"/>
      <c r="L74" s="31"/>
      <c r="M74" s="31"/>
      <c r="N74" s="536"/>
    </row>
    <row r="75" spans="1:14" s="370" customFormat="1">
      <c r="A75" s="31"/>
      <c r="B75" s="31"/>
      <c r="C75" s="32"/>
      <c r="D75" s="31"/>
      <c r="E75" s="31"/>
      <c r="F75" s="31"/>
      <c r="G75" s="31"/>
      <c r="H75" s="31"/>
      <c r="I75" s="31"/>
      <c r="J75" s="31"/>
      <c r="K75" s="31"/>
      <c r="L75" s="31"/>
      <c r="M75" s="31"/>
      <c r="N75" s="536"/>
    </row>
    <row r="76" spans="1:14" s="370" customFormat="1">
      <c r="A76" s="31"/>
      <c r="B76" s="31"/>
      <c r="C76" s="32"/>
      <c r="D76" s="31"/>
      <c r="E76" s="31"/>
      <c r="F76" s="31"/>
      <c r="G76" s="31"/>
      <c r="H76" s="31"/>
      <c r="I76" s="31"/>
      <c r="J76" s="31"/>
      <c r="K76" s="31"/>
      <c r="L76" s="31"/>
      <c r="M76" s="31"/>
      <c r="N76" s="536"/>
    </row>
    <row r="77" spans="1:14" s="370" customFormat="1">
      <c r="A77" s="31"/>
      <c r="B77" s="31"/>
      <c r="C77" s="32"/>
      <c r="D77" s="31"/>
      <c r="E77" s="31"/>
      <c r="F77" s="31"/>
      <c r="G77" s="31"/>
      <c r="H77" s="31"/>
      <c r="I77" s="31"/>
      <c r="J77" s="31"/>
      <c r="K77" s="31"/>
      <c r="L77" s="31"/>
      <c r="M77" s="31"/>
      <c r="N77" s="536"/>
    </row>
    <row r="78" spans="1:14" s="370" customFormat="1">
      <c r="A78" s="31"/>
      <c r="B78" s="31"/>
      <c r="C78" s="32"/>
      <c r="D78" s="31"/>
      <c r="E78" s="31"/>
      <c r="F78" s="31"/>
      <c r="G78" s="31"/>
      <c r="H78" s="31"/>
      <c r="I78" s="31"/>
      <c r="J78" s="31"/>
      <c r="K78" s="31"/>
      <c r="L78" s="31"/>
      <c r="M78" s="31"/>
      <c r="N78" s="536"/>
    </row>
    <row r="79" spans="1:14" s="370" customFormat="1">
      <c r="A79" s="31"/>
      <c r="B79" s="31"/>
      <c r="C79" s="32"/>
      <c r="D79" s="31"/>
      <c r="E79" s="31"/>
      <c r="F79" s="31"/>
      <c r="G79" s="31"/>
      <c r="H79" s="31"/>
      <c r="I79" s="31"/>
      <c r="J79" s="31"/>
      <c r="K79" s="31"/>
      <c r="L79" s="31"/>
      <c r="M79" s="31"/>
      <c r="N79" s="536"/>
    </row>
    <row r="80" spans="1:14" s="370" customFormat="1">
      <c r="A80" s="31"/>
      <c r="B80" s="31"/>
      <c r="C80" s="32"/>
      <c r="D80" s="31"/>
      <c r="E80" s="31"/>
      <c r="F80" s="31"/>
      <c r="G80" s="31"/>
      <c r="H80" s="31"/>
      <c r="I80" s="31"/>
      <c r="J80" s="31"/>
      <c r="K80" s="31"/>
      <c r="L80" s="31"/>
      <c r="M80" s="31"/>
      <c r="N80" s="536"/>
    </row>
    <row r="81" spans="1:14" s="370" customFormat="1">
      <c r="A81" s="31"/>
      <c r="B81" s="31"/>
      <c r="C81" s="32"/>
      <c r="D81" s="31"/>
      <c r="E81" s="31"/>
      <c r="F81" s="31"/>
      <c r="G81" s="31"/>
      <c r="H81" s="31"/>
      <c r="I81" s="31"/>
      <c r="J81" s="31"/>
      <c r="K81" s="31"/>
      <c r="L81" s="31"/>
      <c r="M81" s="31"/>
      <c r="N81" s="536"/>
    </row>
    <row r="82" spans="1:14" s="370" customFormat="1">
      <c r="A82" s="31"/>
      <c r="B82" s="31"/>
      <c r="C82" s="32"/>
      <c r="D82" s="31"/>
      <c r="E82" s="31"/>
      <c r="F82" s="31"/>
      <c r="G82" s="31"/>
      <c r="H82" s="31"/>
      <c r="I82" s="31"/>
      <c r="J82" s="31"/>
      <c r="K82" s="31"/>
      <c r="L82" s="31"/>
      <c r="M82" s="31"/>
      <c r="N82" s="536"/>
    </row>
    <row r="83" spans="1:14" s="370" customFormat="1">
      <c r="A83" s="31"/>
      <c r="B83" s="31"/>
      <c r="C83" s="32"/>
      <c r="D83" s="31"/>
      <c r="E83" s="31"/>
      <c r="F83" s="31"/>
      <c r="G83" s="31"/>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A85" s="31"/>
      <c r="B85" s="31"/>
      <c r="C85" s="32"/>
      <c r="D85" s="31"/>
      <c r="E85" s="31"/>
      <c r="F85" s="31"/>
      <c r="G85" s="31"/>
      <c r="H85" s="31"/>
      <c r="I85" s="31"/>
      <c r="J85" s="31"/>
      <c r="K85" s="31"/>
      <c r="L85" s="31"/>
      <c r="M85" s="31"/>
      <c r="N85" s="536"/>
    </row>
    <row r="86" spans="1:14" s="370" customFormat="1">
      <c r="A86" s="31"/>
      <c r="B86" s="31"/>
      <c r="C86" s="32"/>
      <c r="D86" s="31"/>
      <c r="E86" s="31"/>
      <c r="F86" s="31"/>
      <c r="G86" s="31"/>
      <c r="H86" s="31"/>
      <c r="I86" s="31"/>
      <c r="J86" s="31"/>
      <c r="K86" s="31"/>
      <c r="L86" s="31"/>
      <c r="M86" s="31"/>
      <c r="N86" s="536"/>
    </row>
    <row r="87" spans="1:14" s="370" customFormat="1">
      <c r="A87" s="31"/>
      <c r="B87" s="31"/>
      <c r="C87" s="32"/>
      <c r="D87" s="31"/>
      <c r="E87" s="31"/>
      <c r="F87" s="31"/>
      <c r="G87" s="31"/>
      <c r="H87" s="31"/>
      <c r="I87" s="31"/>
      <c r="J87" s="31"/>
      <c r="K87" s="31"/>
      <c r="L87" s="31"/>
      <c r="M87" s="31"/>
      <c r="N87" s="536"/>
    </row>
    <row r="88" spans="1:14" s="370" customFormat="1">
      <c r="A88" s="31"/>
      <c r="B88" s="31"/>
      <c r="C88" s="32"/>
      <c r="D88" s="31"/>
      <c r="E88" s="31"/>
      <c r="F88" s="31"/>
      <c r="G88" s="31"/>
      <c r="H88" s="31"/>
      <c r="I88" s="31"/>
      <c r="J88" s="31"/>
      <c r="K88" s="31"/>
      <c r="L88" s="31"/>
      <c r="M88" s="31"/>
      <c r="N88" s="536"/>
    </row>
    <row r="89" spans="1:14" s="370" customFormat="1">
      <c r="A89" s="31"/>
      <c r="B89" s="31"/>
      <c r="C89" s="32"/>
      <c r="D89" s="31"/>
      <c r="E89" s="31"/>
      <c r="F89" s="31"/>
      <c r="G89" s="31"/>
      <c r="H89" s="31"/>
      <c r="I89" s="31"/>
      <c r="J89" s="31"/>
      <c r="K89" s="31"/>
      <c r="L89" s="31"/>
      <c r="M89" s="31"/>
      <c r="N89" s="536"/>
    </row>
    <row r="90" spans="1:14" s="370" customFormat="1">
      <c r="A90" s="31"/>
      <c r="B90" s="31"/>
      <c r="C90" s="32"/>
      <c r="D90" s="31"/>
      <c r="E90" s="31"/>
      <c r="F90" s="31"/>
      <c r="G90" s="31"/>
      <c r="H90" s="31"/>
      <c r="I90" s="31"/>
      <c r="J90" s="31"/>
      <c r="K90" s="31"/>
      <c r="L90" s="31"/>
      <c r="M90" s="31"/>
      <c r="N90" s="536"/>
    </row>
  </sheetData>
  <mergeCells count="17">
    <mergeCell ref="A71:F71"/>
    <mergeCell ref="A72:F72"/>
    <mergeCell ref="A62:E62"/>
    <mergeCell ref="A63:F63"/>
    <mergeCell ref="A67:F67"/>
    <mergeCell ref="A68:F68"/>
    <mergeCell ref="A69:F69"/>
    <mergeCell ref="A53:F53"/>
    <mergeCell ref="A56:F56"/>
    <mergeCell ref="A58:F58"/>
    <mergeCell ref="A59:F59"/>
    <mergeCell ref="A60:F60"/>
    <mergeCell ref="A1:N1"/>
    <mergeCell ref="A44:F44"/>
    <mergeCell ref="A45:F45"/>
    <mergeCell ref="A46:B46"/>
    <mergeCell ref="A52:F52"/>
  </mergeCells>
  <printOptions horizontalCentered="1"/>
  <pageMargins left="0.2" right="0.2" top="0.75" bottom="0.75" header="0.3" footer="0.3"/>
  <pageSetup scale="69" orientation="landscape" r:id="rId1"/>
  <headerFooter>
    <oddHeader xml:space="preserve">&amp;CDRAFT NOT FOR DISTRIBUTION, INTERNAL USE ONLY
</oddHead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pageSetUpPr fitToPage="1"/>
  </sheetPr>
  <dimension ref="A1:N90"/>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30.453125" customWidth="1"/>
  </cols>
  <sheetData>
    <row r="1" spans="1:14" ht="15.5">
      <c r="A1" s="854" t="s">
        <v>165</v>
      </c>
      <c r="B1" s="854"/>
      <c r="C1" s="854"/>
      <c r="D1" s="854"/>
      <c r="E1" s="854"/>
      <c r="F1" s="854"/>
      <c r="G1" s="854"/>
      <c r="H1" s="854"/>
      <c r="I1" s="854"/>
      <c r="J1" s="854"/>
      <c r="K1" s="854"/>
      <c r="L1" s="854"/>
      <c r="M1" s="854"/>
      <c r="N1" s="854"/>
    </row>
    <row r="2" spans="1:14">
      <c r="A2" s="702" t="s">
        <v>760</v>
      </c>
      <c r="B2" s="370"/>
      <c r="C2" s="639"/>
      <c r="D2" s="370"/>
      <c r="E2" s="370"/>
      <c r="F2" s="370"/>
      <c r="G2" s="370"/>
      <c r="H2" s="370"/>
      <c r="I2" s="370"/>
      <c r="J2" s="370"/>
      <c r="K2" s="370"/>
      <c r="L2" s="370"/>
      <c r="M2" s="370"/>
      <c r="N2" s="370"/>
    </row>
    <row r="3" spans="1:14">
      <c r="A3" s="506" t="s">
        <v>814</v>
      </c>
      <c r="B3" s="370"/>
      <c r="C3" s="639"/>
      <c r="D3" s="370"/>
      <c r="E3" s="370"/>
      <c r="F3" s="451" t="s">
        <v>210</v>
      </c>
      <c r="G3" s="370"/>
      <c r="H3" s="370"/>
      <c r="I3" s="370"/>
      <c r="J3" s="370"/>
      <c r="K3" s="370"/>
      <c r="L3" s="370"/>
      <c r="M3" s="370"/>
      <c r="N3" s="370"/>
    </row>
    <row r="4" spans="1:14">
      <c r="A4" s="506" t="s">
        <v>815</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N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43">
        <f t="shared" si="1"/>
        <v>0</v>
      </c>
    </row>
    <row r="17" spans="1:14">
      <c r="A17" s="67" t="s">
        <v>220</v>
      </c>
      <c r="B17" s="68"/>
      <c r="C17" s="69"/>
      <c r="D17" s="68"/>
      <c r="E17" s="68"/>
      <c r="F17" s="70"/>
      <c r="G17" s="70"/>
      <c r="H17" s="70"/>
      <c r="I17" s="70"/>
      <c r="J17" s="70"/>
      <c r="K17" s="70"/>
      <c r="L17" s="70"/>
      <c r="M17" s="70"/>
      <c r="N17" s="70"/>
    </row>
    <row r="18" spans="1:14">
      <c r="A18" s="259" t="s">
        <v>278</v>
      </c>
      <c r="B18" s="259"/>
      <c r="C18" s="44">
        <v>253</v>
      </c>
      <c r="D18" s="45"/>
      <c r="E18" s="258">
        <v>0</v>
      </c>
      <c r="F18" s="350">
        <v>0</v>
      </c>
      <c r="G18" s="304">
        <v>0</v>
      </c>
      <c r="H18" s="304">
        <v>0</v>
      </c>
      <c r="I18" s="304">
        <v>0</v>
      </c>
      <c r="J18" s="304">
        <v>0</v>
      </c>
      <c r="K18" s="304">
        <v>0</v>
      </c>
      <c r="L18" s="304">
        <v>0</v>
      </c>
      <c r="M18" s="305">
        <v>0</v>
      </c>
      <c r="N18" s="320"/>
    </row>
    <row r="19" spans="1:14">
      <c r="A19" s="259" t="s">
        <v>278</v>
      </c>
      <c r="B19" s="259"/>
      <c r="C19" s="44">
        <v>253</v>
      </c>
      <c r="D19" s="45"/>
      <c r="E19" s="258">
        <v>0</v>
      </c>
      <c r="F19" s="350">
        <v>0</v>
      </c>
      <c r="G19" s="304">
        <v>0</v>
      </c>
      <c r="H19" s="304">
        <v>0</v>
      </c>
      <c r="I19" s="304">
        <v>0</v>
      </c>
      <c r="J19" s="304">
        <v>0</v>
      </c>
      <c r="K19" s="304">
        <v>0</v>
      </c>
      <c r="L19" s="304">
        <v>0</v>
      </c>
      <c r="M19" s="305">
        <v>0</v>
      </c>
      <c r="N19" s="319"/>
    </row>
    <row r="20" spans="1:14">
      <c r="A20" s="259" t="s">
        <v>278</v>
      </c>
      <c r="B20" s="259"/>
      <c r="C20" s="44">
        <v>253</v>
      </c>
      <c r="D20" s="262"/>
      <c r="E20" s="258">
        <v>0</v>
      </c>
      <c r="F20" s="350">
        <v>0</v>
      </c>
      <c r="G20" s="304">
        <v>0</v>
      </c>
      <c r="H20" s="304">
        <v>0</v>
      </c>
      <c r="I20" s="304">
        <v>0</v>
      </c>
      <c r="J20" s="304">
        <v>0</v>
      </c>
      <c r="K20" s="304">
        <v>0</v>
      </c>
      <c r="L20" s="304">
        <v>0</v>
      </c>
      <c r="M20" s="305">
        <v>0</v>
      </c>
      <c r="N20" s="348"/>
    </row>
    <row r="21" spans="1:14" s="7" customFormat="1">
      <c r="A21" s="259" t="s">
        <v>278</v>
      </c>
      <c r="B21" s="259"/>
      <c r="C21" s="44">
        <v>253</v>
      </c>
      <c r="D21" s="262"/>
      <c r="E21" s="258">
        <v>0</v>
      </c>
      <c r="F21" s="350">
        <v>0</v>
      </c>
      <c r="G21" s="304">
        <v>0</v>
      </c>
      <c r="H21" s="304">
        <v>0</v>
      </c>
      <c r="I21" s="304">
        <v>0</v>
      </c>
      <c r="J21" s="304">
        <v>0</v>
      </c>
      <c r="K21" s="304">
        <v>0</v>
      </c>
      <c r="L21" s="304">
        <v>0</v>
      </c>
      <c r="M21" s="305">
        <v>0</v>
      </c>
      <c r="N21" s="319"/>
    </row>
    <row r="22" spans="1:14">
      <c r="A22" s="40" t="s">
        <v>225</v>
      </c>
      <c r="B22" s="260"/>
      <c r="C22" s="261"/>
      <c r="D22" s="262">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48"/>
    </row>
    <row r="23" spans="1:14" s="7" customFormat="1">
      <c r="A23" s="67" t="s">
        <v>226</v>
      </c>
      <c r="B23" s="68"/>
      <c r="C23" s="69"/>
      <c r="D23" s="68"/>
      <c r="E23" s="68"/>
      <c r="F23" s="70"/>
      <c r="G23" s="70"/>
      <c r="H23" s="70"/>
      <c r="I23" s="70"/>
      <c r="J23" s="70"/>
      <c r="K23" s="70"/>
      <c r="L23" s="70"/>
      <c r="M23" s="70"/>
      <c r="N23" s="70"/>
    </row>
    <row r="24" spans="1:14" ht="15" customHeight="1">
      <c r="A24" s="259" t="s">
        <v>227</v>
      </c>
      <c r="B24" s="36"/>
      <c r="C24" s="37" t="s">
        <v>228</v>
      </c>
      <c r="D24" s="38">
        <v>0</v>
      </c>
      <c r="E24" s="258">
        <v>0</v>
      </c>
      <c r="F24" s="303">
        <f t="shared" ref="F24:F35" si="3">SUM(G24:M24)</f>
        <v>0</v>
      </c>
      <c r="G24" s="304">
        <v>0</v>
      </c>
      <c r="H24" s="304">
        <v>0</v>
      </c>
      <c r="I24" s="304">
        <v>0</v>
      </c>
      <c r="J24" s="304">
        <v>0</v>
      </c>
      <c r="K24" s="304">
        <v>0</v>
      </c>
      <c r="L24" s="304">
        <v>0</v>
      </c>
      <c r="M24" s="305">
        <v>0</v>
      </c>
      <c r="N24" s="318"/>
    </row>
    <row r="25" spans="1:14">
      <c r="A25" s="259" t="s">
        <v>229</v>
      </c>
      <c r="B25" s="36"/>
      <c r="C25" s="44" t="s">
        <v>230</v>
      </c>
      <c r="D25" s="45"/>
      <c r="E25" s="258">
        <v>0</v>
      </c>
      <c r="F25" s="303">
        <f t="shared" si="3"/>
        <v>0</v>
      </c>
      <c r="G25" s="304">
        <v>0</v>
      </c>
      <c r="H25" s="304">
        <v>0</v>
      </c>
      <c r="I25" s="304">
        <v>0</v>
      </c>
      <c r="J25" s="304">
        <v>0</v>
      </c>
      <c r="K25" s="304">
        <v>0</v>
      </c>
      <c r="L25" s="304">
        <v>0</v>
      </c>
      <c r="M25" s="305">
        <v>0</v>
      </c>
      <c r="N25" s="348"/>
    </row>
    <row r="26" spans="1:14">
      <c r="A26" s="259" t="s">
        <v>231</v>
      </c>
      <c r="B26" s="36"/>
      <c r="C26" s="44" t="s">
        <v>232</v>
      </c>
      <c r="D26" s="45"/>
      <c r="E26" s="258">
        <v>0</v>
      </c>
      <c r="F26" s="303">
        <f t="shared" si="3"/>
        <v>0</v>
      </c>
      <c r="G26" s="304">
        <v>0</v>
      </c>
      <c r="H26" s="304">
        <v>0</v>
      </c>
      <c r="I26" s="304">
        <v>0</v>
      </c>
      <c r="J26" s="304">
        <v>0</v>
      </c>
      <c r="K26" s="304">
        <v>0</v>
      </c>
      <c r="L26" s="304">
        <v>0</v>
      </c>
      <c r="M26" s="305">
        <v>0</v>
      </c>
      <c r="N26" s="348"/>
    </row>
    <row r="27" spans="1:14">
      <c r="A27" s="259" t="s">
        <v>233</v>
      </c>
      <c r="B27" s="36"/>
      <c r="C27" s="44" t="s">
        <v>234</v>
      </c>
      <c r="D27" s="45"/>
      <c r="E27" s="258">
        <v>0</v>
      </c>
      <c r="F27" s="303">
        <f t="shared" si="3"/>
        <v>0</v>
      </c>
      <c r="G27" s="304">
        <v>0</v>
      </c>
      <c r="H27" s="304">
        <v>0</v>
      </c>
      <c r="I27" s="304">
        <v>0</v>
      </c>
      <c r="J27" s="304">
        <v>0</v>
      </c>
      <c r="K27" s="304">
        <v>0</v>
      </c>
      <c r="L27" s="304">
        <v>0</v>
      </c>
      <c r="M27" s="305">
        <v>0</v>
      </c>
      <c r="N27" s="348"/>
    </row>
    <row r="28" spans="1:14" ht="78">
      <c r="A28" s="259" t="s">
        <v>235</v>
      </c>
      <c r="B28" s="36"/>
      <c r="C28" s="44">
        <v>251</v>
      </c>
      <c r="D28" s="45"/>
      <c r="E28" s="258">
        <v>180</v>
      </c>
      <c r="F28" s="303">
        <f t="shared" si="3"/>
        <v>176</v>
      </c>
      <c r="G28" s="304">
        <v>0</v>
      </c>
      <c r="H28" s="304">
        <v>176</v>
      </c>
      <c r="I28" s="304">
        <v>0</v>
      </c>
      <c r="J28" s="304">
        <v>0</v>
      </c>
      <c r="K28" s="304">
        <v>0</v>
      </c>
      <c r="L28" s="304">
        <v>0</v>
      </c>
      <c r="M28" s="305">
        <v>0</v>
      </c>
      <c r="N28" s="731" t="s">
        <v>1046</v>
      </c>
    </row>
    <row r="29" spans="1:14">
      <c r="A29" s="259" t="s">
        <v>242</v>
      </c>
      <c r="B29" s="36"/>
      <c r="C29" s="44">
        <v>252</v>
      </c>
      <c r="D29" s="45"/>
      <c r="E29" s="258">
        <v>0</v>
      </c>
      <c r="F29" s="303">
        <f t="shared" si="3"/>
        <v>0</v>
      </c>
      <c r="G29" s="304">
        <v>0</v>
      </c>
      <c r="H29" s="304">
        <v>0</v>
      </c>
      <c r="I29" s="304">
        <v>0</v>
      </c>
      <c r="J29" s="304">
        <v>0</v>
      </c>
      <c r="K29" s="304">
        <v>0</v>
      </c>
      <c r="L29" s="304">
        <v>0</v>
      </c>
      <c r="M29" s="305">
        <v>0</v>
      </c>
      <c r="N29" s="157"/>
    </row>
    <row r="30" spans="1:14">
      <c r="A30" s="259" t="s">
        <v>243</v>
      </c>
      <c r="B30" s="36"/>
      <c r="C30" s="44">
        <v>252</v>
      </c>
      <c r="D30" s="45"/>
      <c r="E30" s="258">
        <v>0</v>
      </c>
      <c r="F30" s="303">
        <f t="shared" si="3"/>
        <v>0</v>
      </c>
      <c r="G30" s="304">
        <v>0</v>
      </c>
      <c r="H30" s="304">
        <v>0</v>
      </c>
      <c r="I30" s="304">
        <v>0</v>
      </c>
      <c r="J30" s="304">
        <v>0</v>
      </c>
      <c r="K30" s="304">
        <v>0</v>
      </c>
      <c r="L30" s="304">
        <v>0</v>
      </c>
      <c r="M30" s="305">
        <v>0</v>
      </c>
      <c r="N30" s="157"/>
    </row>
    <row r="31" spans="1:14">
      <c r="A31" s="259" t="s">
        <v>244</v>
      </c>
      <c r="B31" s="36"/>
      <c r="C31" s="44">
        <v>253</v>
      </c>
      <c r="D31" s="259"/>
      <c r="E31" s="258">
        <v>0</v>
      </c>
      <c r="F31" s="303">
        <f t="shared" si="3"/>
        <v>0</v>
      </c>
      <c r="G31" s="304">
        <v>0</v>
      </c>
      <c r="H31" s="304">
        <v>0</v>
      </c>
      <c r="I31" s="304">
        <v>0</v>
      </c>
      <c r="J31" s="304">
        <v>0</v>
      </c>
      <c r="K31" s="304">
        <v>0</v>
      </c>
      <c r="L31" s="304">
        <v>0</v>
      </c>
      <c r="M31" s="305">
        <v>0</v>
      </c>
      <c r="N31" s="157"/>
    </row>
    <row r="32" spans="1:14">
      <c r="A32" s="259" t="s">
        <v>245</v>
      </c>
      <c r="B32" s="36"/>
      <c r="C32" s="44">
        <v>255</v>
      </c>
      <c r="D32" s="259"/>
      <c r="E32" s="258">
        <v>0</v>
      </c>
      <c r="F32" s="303">
        <f t="shared" si="3"/>
        <v>0</v>
      </c>
      <c r="G32" s="304">
        <v>0</v>
      </c>
      <c r="H32" s="304">
        <v>0</v>
      </c>
      <c r="I32" s="304">
        <v>0</v>
      </c>
      <c r="J32" s="304">
        <v>0</v>
      </c>
      <c r="K32" s="304">
        <v>0</v>
      </c>
      <c r="L32" s="304">
        <v>0</v>
      </c>
      <c r="M32" s="305">
        <v>0</v>
      </c>
      <c r="N32" s="157"/>
    </row>
    <row r="33" spans="1:14">
      <c r="A33" s="259" t="s">
        <v>246</v>
      </c>
      <c r="B33" s="36"/>
      <c r="C33" s="44">
        <v>256</v>
      </c>
      <c r="D33" s="259"/>
      <c r="E33" s="258">
        <v>0</v>
      </c>
      <c r="F33" s="303">
        <f t="shared" si="3"/>
        <v>0</v>
      </c>
      <c r="G33" s="304">
        <v>0</v>
      </c>
      <c r="H33" s="304">
        <v>0</v>
      </c>
      <c r="I33" s="304">
        <v>0</v>
      </c>
      <c r="J33" s="304">
        <v>0</v>
      </c>
      <c r="K33" s="304">
        <v>0</v>
      </c>
      <c r="L33" s="304">
        <v>0</v>
      </c>
      <c r="M33" s="305">
        <v>0</v>
      </c>
      <c r="N33" s="157"/>
    </row>
    <row r="34" spans="1:14" ht="159.5">
      <c r="A34" s="259" t="s">
        <v>247</v>
      </c>
      <c r="B34" s="36"/>
      <c r="C34" s="44">
        <v>257</v>
      </c>
      <c r="D34" s="259"/>
      <c r="E34" s="258">
        <v>65</v>
      </c>
      <c r="F34" s="303">
        <f t="shared" si="3"/>
        <v>56</v>
      </c>
      <c r="G34" s="304">
        <v>0</v>
      </c>
      <c r="H34" s="304">
        <v>56</v>
      </c>
      <c r="I34" s="304">
        <v>0</v>
      </c>
      <c r="J34" s="304">
        <v>0</v>
      </c>
      <c r="K34" s="304">
        <v>0</v>
      </c>
      <c r="L34" s="304">
        <v>0</v>
      </c>
      <c r="M34" s="305">
        <v>0</v>
      </c>
      <c r="N34" s="538" t="s">
        <v>1047</v>
      </c>
    </row>
    <row r="35" spans="1:14">
      <c r="A35" s="259" t="s">
        <v>248</v>
      </c>
      <c r="B35" s="36"/>
      <c r="C35" s="44" t="s">
        <v>249</v>
      </c>
      <c r="D35" s="259"/>
      <c r="E35" s="258">
        <v>0</v>
      </c>
      <c r="F35" s="303">
        <f t="shared" si="3"/>
        <v>0</v>
      </c>
      <c r="G35" s="304">
        <v>0</v>
      </c>
      <c r="H35" s="304">
        <v>0</v>
      </c>
      <c r="I35" s="304">
        <v>0</v>
      </c>
      <c r="J35" s="304">
        <v>0</v>
      </c>
      <c r="K35" s="304">
        <v>0</v>
      </c>
      <c r="L35" s="304">
        <v>0</v>
      </c>
      <c r="M35" s="305">
        <v>0</v>
      </c>
      <c r="N35" s="157"/>
    </row>
    <row r="36" spans="1:14" s="370" customFormat="1">
      <c r="A36" s="260" t="s">
        <v>250</v>
      </c>
      <c r="B36" s="36"/>
      <c r="C36" s="261" t="s">
        <v>251</v>
      </c>
      <c r="D36" s="260"/>
      <c r="E36" s="258">
        <v>0</v>
      </c>
      <c r="F36" s="303">
        <f>SUM(G36:M36)</f>
        <v>0</v>
      </c>
      <c r="G36" s="304">
        <v>0</v>
      </c>
      <c r="H36" s="304">
        <v>0</v>
      </c>
      <c r="I36" s="304">
        <v>0</v>
      </c>
      <c r="J36" s="304">
        <v>0</v>
      </c>
      <c r="K36" s="304">
        <v>0</v>
      </c>
      <c r="L36" s="304">
        <v>0</v>
      </c>
      <c r="M36" s="305">
        <v>0</v>
      </c>
      <c r="N36" s="157"/>
    </row>
    <row r="37" spans="1:14">
      <c r="A37" s="260" t="s">
        <v>252</v>
      </c>
      <c r="B37" s="378"/>
      <c r="C37" s="261" t="s">
        <v>253</v>
      </c>
      <c r="D37" s="260"/>
      <c r="E37" s="311">
        <v>0</v>
      </c>
      <c r="F37" s="303">
        <f>SUM(G37:M37)</f>
        <v>0</v>
      </c>
      <c r="G37" s="163">
        <v>0</v>
      </c>
      <c r="H37" s="163">
        <v>0</v>
      </c>
      <c r="I37" s="163">
        <v>0</v>
      </c>
      <c r="J37" s="163">
        <v>0</v>
      </c>
      <c r="K37" s="163">
        <v>0</v>
      </c>
      <c r="L37" s="163">
        <v>0</v>
      </c>
      <c r="M37" s="164">
        <v>0</v>
      </c>
      <c r="N37" s="318"/>
    </row>
    <row r="38" spans="1:14">
      <c r="A38" s="40" t="s">
        <v>254</v>
      </c>
      <c r="B38" s="260"/>
      <c r="C38" s="261"/>
      <c r="D38" s="262"/>
      <c r="E38" s="42">
        <f t="shared" ref="E38:M38" si="4">SUM(E24:E37)</f>
        <v>245</v>
      </c>
      <c r="F38" s="43">
        <f t="shared" si="4"/>
        <v>232</v>
      </c>
      <c r="G38" s="43">
        <f t="shared" si="4"/>
        <v>0</v>
      </c>
      <c r="H38" s="43">
        <f t="shared" si="4"/>
        <v>232</v>
      </c>
      <c r="I38" s="43">
        <f t="shared" si="4"/>
        <v>0</v>
      </c>
      <c r="J38" s="43">
        <f t="shared" si="4"/>
        <v>0</v>
      </c>
      <c r="K38" s="43">
        <f t="shared" si="4"/>
        <v>0</v>
      </c>
      <c r="L38" s="43">
        <f t="shared" si="4"/>
        <v>0</v>
      </c>
      <c r="M38" s="43">
        <f t="shared" si="4"/>
        <v>0</v>
      </c>
      <c r="N38" s="348"/>
    </row>
    <row r="39" spans="1:14" s="149" customFormat="1">
      <c r="A39" s="40" t="s">
        <v>255</v>
      </c>
      <c r="B39" s="51"/>
      <c r="C39" s="147"/>
      <c r="D39" s="262"/>
      <c r="E39" s="42">
        <v>0</v>
      </c>
      <c r="F39" s="235">
        <f>SUM(G39:L39)</f>
        <v>0</v>
      </c>
      <c r="G39" s="235"/>
      <c r="H39" s="235">
        <v>0</v>
      </c>
      <c r="I39" s="235"/>
      <c r="J39" s="235"/>
      <c r="K39" s="235"/>
      <c r="L39" s="235"/>
      <c r="M39" s="235"/>
      <c r="N39" s="318"/>
    </row>
    <row r="40" spans="1:14">
      <c r="A40" s="40" t="s">
        <v>256</v>
      </c>
      <c r="B40" s="46"/>
      <c r="C40" s="47"/>
      <c r="D40" s="48">
        <f>D38+D22+D16</f>
        <v>0</v>
      </c>
      <c r="E40" s="42">
        <f>E38+E22+E16-E39</f>
        <v>245</v>
      </c>
      <c r="F40" s="17">
        <f t="shared" ref="F40:M40" si="5">F38+F22+F16-F39</f>
        <v>232</v>
      </c>
      <c r="G40" s="17">
        <f t="shared" si="5"/>
        <v>0</v>
      </c>
      <c r="H40" s="17">
        <f t="shared" si="5"/>
        <v>232</v>
      </c>
      <c r="I40" s="17">
        <f t="shared" si="5"/>
        <v>0</v>
      </c>
      <c r="J40" s="17">
        <f t="shared" si="5"/>
        <v>0</v>
      </c>
      <c r="K40" s="17">
        <f t="shared" si="5"/>
        <v>0</v>
      </c>
      <c r="L40" s="17">
        <f t="shared" si="5"/>
        <v>0</v>
      </c>
      <c r="M40" s="17">
        <f t="shared" si="5"/>
        <v>0</v>
      </c>
      <c r="N40" s="346"/>
    </row>
    <row r="43" spans="1:14" s="370" customFormat="1" ht="15" thickBot="1">
      <c r="A43" s="572"/>
      <c r="B43" s="572"/>
      <c r="C43" s="573"/>
      <c r="D43" s="572"/>
      <c r="E43" s="572"/>
      <c r="F43" s="572"/>
      <c r="G43" s="572"/>
      <c r="H43" s="572"/>
      <c r="I43" s="572"/>
      <c r="J43" s="572"/>
      <c r="K43" s="572"/>
      <c r="L43" s="572"/>
      <c r="M43" s="572"/>
      <c r="N43" s="574"/>
    </row>
    <row r="44" spans="1:14" s="370" customFormat="1" ht="15.5">
      <c r="A44" s="994" t="s">
        <v>257</v>
      </c>
      <c r="B44" s="995"/>
      <c r="C44" s="995"/>
      <c r="D44" s="995"/>
      <c r="E44" s="995"/>
      <c r="F44" s="995"/>
      <c r="G44" s="575"/>
      <c r="H44" s="572"/>
      <c r="I44" s="572"/>
      <c r="J44" s="572"/>
      <c r="K44" s="572"/>
      <c r="L44" s="572"/>
      <c r="M44" s="572"/>
      <c r="N44" s="574"/>
    </row>
    <row r="45" spans="1:14" s="370" customFormat="1" ht="15.5">
      <c r="A45" s="996"/>
      <c r="B45" s="997"/>
      <c r="C45" s="997"/>
      <c r="D45" s="997"/>
      <c r="E45" s="997"/>
      <c r="F45" s="997"/>
      <c r="G45" s="576"/>
      <c r="H45" s="572"/>
      <c r="I45" s="572"/>
      <c r="J45" s="572"/>
      <c r="K45" s="572"/>
      <c r="L45" s="572"/>
      <c r="M45" s="572"/>
      <c r="N45" s="574"/>
    </row>
    <row r="46" spans="1:14" s="370" customFormat="1">
      <c r="A46" s="998" t="s">
        <v>258</v>
      </c>
      <c r="B46" s="999"/>
      <c r="C46" s="577"/>
      <c r="D46" s="577"/>
      <c r="E46" s="577"/>
      <c r="F46" s="577"/>
      <c r="G46" s="576"/>
      <c r="H46" s="572"/>
      <c r="I46" s="572"/>
      <c r="J46" s="572"/>
      <c r="K46" s="572"/>
      <c r="L46" s="572"/>
      <c r="M46" s="572"/>
      <c r="N46" s="574"/>
    </row>
    <row r="47" spans="1:14" s="370" customFormat="1">
      <c r="A47" s="578" t="s">
        <v>1009</v>
      </c>
      <c r="B47" s="579">
        <f>E40</f>
        <v>245</v>
      </c>
      <c r="C47" s="580"/>
      <c r="D47" s="581"/>
      <c r="E47" s="581"/>
      <c r="F47" s="581"/>
      <c r="G47" s="576"/>
      <c r="H47" s="572"/>
      <c r="I47" s="572"/>
      <c r="J47" s="572"/>
      <c r="K47" s="572"/>
      <c r="L47" s="572"/>
      <c r="M47" s="572"/>
      <c r="N47" s="574"/>
    </row>
    <row r="48" spans="1:14" s="370" customFormat="1">
      <c r="A48" s="582" t="s">
        <v>1010</v>
      </c>
      <c r="B48" s="583">
        <f>F40</f>
        <v>232</v>
      </c>
      <c r="C48" s="580"/>
      <c r="D48" s="581"/>
      <c r="E48" s="581"/>
      <c r="F48" s="581"/>
      <c r="G48" s="576"/>
      <c r="H48" s="572"/>
      <c r="I48" s="572"/>
      <c r="J48" s="572"/>
      <c r="K48" s="572"/>
      <c r="L48" s="572"/>
      <c r="M48" s="572"/>
      <c r="N48" s="574"/>
    </row>
    <row r="49" spans="1:14" s="370" customFormat="1">
      <c r="A49" s="584" t="s">
        <v>259</v>
      </c>
      <c r="B49" s="585">
        <f>B48-B47</f>
        <v>-13</v>
      </c>
      <c r="C49" s="580"/>
      <c r="D49" s="581"/>
      <c r="E49" s="581"/>
      <c r="F49" s="581"/>
      <c r="G49" s="576"/>
      <c r="H49" s="572"/>
      <c r="I49" s="572"/>
      <c r="J49" s="572"/>
      <c r="K49" s="572"/>
      <c r="L49" s="572"/>
      <c r="M49" s="572"/>
      <c r="N49" s="574"/>
    </row>
    <row r="50" spans="1:14" s="370" customFormat="1">
      <c r="A50" s="584" t="s">
        <v>260</v>
      </c>
      <c r="B50" s="586">
        <f>B49/B47</f>
        <v>-5.3061224489795916E-2</v>
      </c>
      <c r="C50" s="580"/>
      <c r="D50" s="581"/>
      <c r="E50" s="581"/>
      <c r="F50" s="581"/>
      <c r="G50" s="576"/>
      <c r="H50" s="572"/>
      <c r="I50" s="572"/>
      <c r="J50" s="572"/>
      <c r="K50" s="572"/>
      <c r="L50" s="572"/>
      <c r="M50" s="572"/>
      <c r="N50" s="574"/>
    </row>
    <row r="51" spans="1:14" s="370" customFormat="1">
      <c r="A51" s="587"/>
      <c r="B51" s="581"/>
      <c r="C51" s="588"/>
      <c r="D51" s="581"/>
      <c r="E51" s="581"/>
      <c r="F51" s="581"/>
      <c r="G51" s="576"/>
      <c r="H51" s="572"/>
      <c r="I51" s="572"/>
      <c r="J51" s="572"/>
      <c r="K51" s="572"/>
      <c r="L51" s="572"/>
      <c r="M51" s="572"/>
      <c r="N51" s="574"/>
    </row>
    <row r="52" spans="1:14" s="293" customFormat="1">
      <c r="A52" s="1000" t="s">
        <v>261</v>
      </c>
      <c r="B52" s="1001"/>
      <c r="C52" s="1001"/>
      <c r="D52" s="1001"/>
      <c r="E52" s="1001"/>
      <c r="F52" s="1001"/>
      <c r="G52" s="675"/>
      <c r="H52" s="671"/>
      <c r="I52" s="671"/>
      <c r="J52" s="671"/>
      <c r="K52" s="671"/>
      <c r="L52" s="671"/>
      <c r="M52" s="671"/>
      <c r="N52" s="673"/>
    </row>
    <row r="53" spans="1:14" s="293" customFormat="1" ht="55.5" customHeight="1">
      <c r="A53" s="1002" t="s">
        <v>564</v>
      </c>
      <c r="B53" s="1003"/>
      <c r="C53" s="1003"/>
      <c r="D53" s="1003"/>
      <c r="E53" s="1003"/>
      <c r="F53" s="1004"/>
      <c r="G53" s="675"/>
      <c r="H53" s="671"/>
      <c r="I53" s="671"/>
      <c r="J53" s="671"/>
      <c r="K53" s="671"/>
      <c r="L53" s="671"/>
      <c r="M53" s="671"/>
      <c r="N53" s="673"/>
    </row>
    <row r="54" spans="1:14" s="293" customFormat="1">
      <c r="A54" s="688"/>
      <c r="B54" s="689"/>
      <c r="C54" s="689"/>
      <c r="D54" s="689"/>
      <c r="E54" s="689"/>
      <c r="F54" s="689"/>
      <c r="G54" s="675"/>
      <c r="H54" s="671"/>
      <c r="I54" s="671"/>
      <c r="J54" s="671"/>
      <c r="K54" s="671"/>
      <c r="L54" s="671"/>
      <c r="M54" s="671"/>
      <c r="N54" s="673"/>
    </row>
    <row r="55" spans="1:14" s="293" customFormat="1">
      <c r="A55" s="690" t="s">
        <v>262</v>
      </c>
      <c r="B55" s="680"/>
      <c r="C55" s="725"/>
      <c r="D55" s="680"/>
      <c r="E55" s="680"/>
      <c r="F55" s="680"/>
      <c r="G55" s="675"/>
      <c r="H55" s="671"/>
      <c r="I55" s="671"/>
      <c r="J55" s="671"/>
      <c r="K55" s="671"/>
      <c r="L55" s="671"/>
      <c r="M55" s="671"/>
      <c r="N55" s="673"/>
    </row>
    <row r="56" spans="1:14" s="293" customFormat="1" ht="51" customHeight="1">
      <c r="A56" s="1002" t="s">
        <v>565</v>
      </c>
      <c r="B56" s="1003"/>
      <c r="C56" s="1003"/>
      <c r="D56" s="1003"/>
      <c r="E56" s="1003"/>
      <c r="F56" s="1004"/>
      <c r="G56" s="675"/>
      <c r="H56" s="671"/>
      <c r="I56" s="671"/>
      <c r="J56" s="671"/>
      <c r="K56" s="671"/>
      <c r="L56" s="671"/>
      <c r="M56" s="671"/>
      <c r="N56" s="673"/>
    </row>
    <row r="57" spans="1:14" s="293" customFormat="1">
      <c r="A57" s="686"/>
      <c r="B57" s="680"/>
      <c r="C57" s="725"/>
      <c r="D57" s="680"/>
      <c r="E57" s="680"/>
      <c r="F57" s="680"/>
      <c r="G57" s="675"/>
      <c r="H57" s="671"/>
      <c r="I57" s="671"/>
      <c r="J57" s="671"/>
      <c r="K57" s="671"/>
      <c r="L57" s="671"/>
      <c r="M57" s="671"/>
      <c r="N57" s="673"/>
    </row>
    <row r="58" spans="1:14" s="293" customFormat="1">
      <c r="A58" s="1000" t="s">
        <v>1020</v>
      </c>
      <c r="B58" s="1001"/>
      <c r="C58" s="1001"/>
      <c r="D58" s="1001"/>
      <c r="E58" s="1001"/>
      <c r="F58" s="1001"/>
      <c r="G58" s="675"/>
      <c r="H58" s="671"/>
      <c r="I58" s="671"/>
      <c r="J58" s="671"/>
      <c r="K58" s="671"/>
      <c r="L58" s="671"/>
      <c r="M58" s="671"/>
      <c r="N58" s="673"/>
    </row>
    <row r="59" spans="1:14" s="293" customFormat="1">
      <c r="A59" s="1005" t="s">
        <v>1021</v>
      </c>
      <c r="B59" s="1006"/>
      <c r="C59" s="1006"/>
      <c r="D59" s="1006"/>
      <c r="E59" s="1006"/>
      <c r="F59" s="1006"/>
      <c r="G59" s="675"/>
      <c r="H59" s="671"/>
      <c r="I59" s="671"/>
      <c r="J59" s="671"/>
      <c r="K59" s="671"/>
      <c r="L59" s="671"/>
      <c r="M59" s="671"/>
      <c r="N59" s="673"/>
    </row>
    <row r="60" spans="1:14" s="293" customFormat="1" ht="58.5" customHeight="1">
      <c r="A60" s="1002" t="s">
        <v>876</v>
      </c>
      <c r="B60" s="1003"/>
      <c r="C60" s="1003"/>
      <c r="D60" s="1003"/>
      <c r="E60" s="1003"/>
      <c r="F60" s="1004"/>
      <c r="G60" s="675"/>
      <c r="H60" s="671"/>
      <c r="I60" s="671"/>
      <c r="J60" s="671"/>
      <c r="K60" s="671"/>
      <c r="L60" s="671"/>
      <c r="M60" s="671"/>
      <c r="N60" s="673"/>
    </row>
    <row r="61" spans="1:14" s="293" customFormat="1">
      <c r="A61" s="690"/>
      <c r="B61" s="680"/>
      <c r="C61" s="725"/>
      <c r="D61" s="680"/>
      <c r="E61" s="680"/>
      <c r="F61" s="680"/>
      <c r="G61" s="675"/>
      <c r="H61" s="671"/>
      <c r="I61" s="671"/>
      <c r="J61" s="671"/>
      <c r="K61" s="671"/>
      <c r="L61" s="671"/>
      <c r="M61" s="671"/>
      <c r="N61" s="673"/>
    </row>
    <row r="62" spans="1:14" s="293" customFormat="1">
      <c r="A62" s="1000" t="s">
        <v>264</v>
      </c>
      <c r="B62" s="1001"/>
      <c r="C62" s="1001"/>
      <c r="D62" s="1001"/>
      <c r="E62" s="1001"/>
      <c r="F62" s="680"/>
      <c r="G62" s="675"/>
      <c r="H62" s="671"/>
      <c r="I62" s="671"/>
      <c r="J62" s="671"/>
      <c r="K62" s="671"/>
      <c r="L62" s="671"/>
      <c r="M62" s="671"/>
      <c r="N62" s="673"/>
    </row>
    <row r="63" spans="1:14" s="293" customFormat="1" ht="30.15" customHeight="1">
      <c r="A63" s="1007" t="s">
        <v>566</v>
      </c>
      <c r="B63" s="1008"/>
      <c r="C63" s="1008"/>
      <c r="D63" s="1008"/>
      <c r="E63" s="1008"/>
      <c r="F63" s="1009"/>
      <c r="G63" s="675"/>
      <c r="H63" s="671"/>
      <c r="I63" s="671"/>
      <c r="J63" s="671"/>
      <c r="K63" s="671"/>
      <c r="L63" s="671"/>
      <c r="M63" s="671"/>
      <c r="N63" s="673"/>
    </row>
    <row r="64" spans="1:14" s="293" customFormat="1">
      <c r="A64" s="686"/>
      <c r="B64" s="680"/>
      <c r="C64" s="725"/>
      <c r="D64" s="680"/>
      <c r="E64" s="680"/>
      <c r="F64" s="680"/>
      <c r="G64" s="675"/>
      <c r="H64" s="671"/>
      <c r="I64" s="671"/>
      <c r="J64" s="671"/>
      <c r="K64" s="671"/>
      <c r="L64" s="671"/>
      <c r="M64" s="671"/>
      <c r="N64" s="673"/>
    </row>
    <row r="65" spans="1:14" s="293" customFormat="1">
      <c r="A65" s="690" t="s">
        <v>265</v>
      </c>
      <c r="B65" s="680"/>
      <c r="C65" s="725"/>
      <c r="D65" s="680"/>
      <c r="E65" s="680"/>
      <c r="F65" s="680"/>
      <c r="G65" s="675"/>
      <c r="H65" s="671"/>
      <c r="I65" s="671"/>
      <c r="J65" s="671"/>
      <c r="K65" s="671"/>
      <c r="L65" s="671"/>
      <c r="M65" s="671"/>
      <c r="N65" s="673"/>
    </row>
    <row r="66" spans="1:14" s="293" customFormat="1">
      <c r="A66" s="691" t="s">
        <v>266</v>
      </c>
      <c r="B66" s="680"/>
      <c r="C66" s="725"/>
      <c r="D66" s="680"/>
      <c r="E66" s="680"/>
      <c r="F66" s="680"/>
      <c r="G66" s="675"/>
      <c r="H66" s="671"/>
      <c r="I66" s="671"/>
      <c r="J66" s="671"/>
      <c r="K66" s="671"/>
      <c r="L66" s="671"/>
      <c r="M66" s="671"/>
      <c r="N66" s="673"/>
    </row>
    <row r="67" spans="1:14" s="293" customFormat="1" ht="26.25" customHeight="1">
      <c r="A67" s="892" t="s">
        <v>1030</v>
      </c>
      <c r="B67" s="893"/>
      <c r="C67" s="893"/>
      <c r="D67" s="893"/>
      <c r="E67" s="893"/>
      <c r="F67" s="893"/>
      <c r="G67" s="675"/>
      <c r="H67" s="671"/>
      <c r="I67" s="671"/>
      <c r="J67" s="671"/>
      <c r="K67" s="671"/>
      <c r="L67" s="671"/>
      <c r="M67" s="671"/>
      <c r="N67" s="673"/>
    </row>
    <row r="68" spans="1:14" s="293" customFormat="1" ht="51.65" customHeight="1">
      <c r="A68" s="1002" t="s">
        <v>1048</v>
      </c>
      <c r="B68" s="1010"/>
      <c r="C68" s="1010"/>
      <c r="D68" s="1010"/>
      <c r="E68" s="1010"/>
      <c r="F68" s="1011"/>
      <c r="G68" s="675"/>
      <c r="H68" s="671"/>
      <c r="I68" s="671"/>
      <c r="J68" s="671"/>
      <c r="K68" s="671"/>
      <c r="L68" s="671"/>
      <c r="M68" s="671"/>
      <c r="N68" s="673"/>
    </row>
    <row r="69" spans="1:14" s="293" customFormat="1">
      <c r="A69" s="1012"/>
      <c r="B69" s="1013"/>
      <c r="C69" s="1013"/>
      <c r="D69" s="1013"/>
      <c r="E69" s="1013"/>
      <c r="F69" s="1013"/>
      <c r="G69" s="675"/>
      <c r="H69" s="671"/>
      <c r="I69" s="671"/>
      <c r="J69" s="671"/>
      <c r="K69" s="671"/>
      <c r="L69" s="671"/>
      <c r="M69" s="671"/>
      <c r="N69" s="673"/>
    </row>
    <row r="70" spans="1:14" s="293" customFormat="1">
      <c r="A70" s="691" t="s">
        <v>268</v>
      </c>
      <c r="B70" s="680"/>
      <c r="C70" s="725"/>
      <c r="D70" s="680"/>
      <c r="E70" s="680"/>
      <c r="F70" s="680"/>
      <c r="G70" s="675"/>
      <c r="H70" s="671"/>
      <c r="I70" s="671"/>
      <c r="J70" s="671"/>
      <c r="K70" s="671"/>
      <c r="L70" s="671"/>
      <c r="M70" s="671"/>
      <c r="N70" s="673"/>
    </row>
    <row r="71" spans="1:14" s="293" customFormat="1" ht="46.5" customHeight="1">
      <c r="A71" s="896" t="s">
        <v>269</v>
      </c>
      <c r="B71" s="897"/>
      <c r="C71" s="897"/>
      <c r="D71" s="897"/>
      <c r="E71" s="897"/>
      <c r="F71" s="897"/>
      <c r="G71" s="675"/>
      <c r="H71" s="671"/>
      <c r="I71" s="671"/>
      <c r="J71" s="671"/>
      <c r="K71" s="671"/>
      <c r="L71" s="671"/>
      <c r="M71" s="671"/>
      <c r="N71" s="673"/>
    </row>
    <row r="72" spans="1:14" s="293" customFormat="1">
      <c r="A72" s="1002" t="s">
        <v>452</v>
      </c>
      <c r="B72" s="1003"/>
      <c r="C72" s="1003"/>
      <c r="D72" s="1003"/>
      <c r="E72" s="1003"/>
      <c r="F72" s="1004"/>
      <c r="G72" s="675"/>
      <c r="H72" s="671"/>
      <c r="I72" s="671"/>
      <c r="J72" s="671"/>
      <c r="K72" s="671"/>
      <c r="L72" s="671"/>
      <c r="M72" s="671"/>
      <c r="N72" s="673"/>
    </row>
    <row r="73" spans="1:14" s="293" customFormat="1" ht="15" thickBot="1">
      <c r="A73" s="692"/>
      <c r="B73" s="693"/>
      <c r="C73" s="694"/>
      <c r="D73" s="693"/>
      <c r="E73" s="693"/>
      <c r="F73" s="693"/>
      <c r="G73" s="695"/>
      <c r="H73" s="671"/>
      <c r="I73" s="671"/>
      <c r="J73" s="671"/>
      <c r="K73" s="671"/>
      <c r="L73" s="671"/>
      <c r="M73" s="671"/>
      <c r="N73" s="673"/>
    </row>
    <row r="74" spans="1:14" s="293" customFormat="1">
      <c r="A74" s="671"/>
      <c r="B74" s="671"/>
      <c r="C74" s="672"/>
      <c r="D74" s="671"/>
      <c r="E74" s="671"/>
      <c r="F74" s="671"/>
      <c r="G74" s="671"/>
      <c r="H74" s="671"/>
      <c r="I74" s="671"/>
      <c r="J74" s="671"/>
      <c r="K74" s="671"/>
      <c r="L74" s="671"/>
      <c r="M74" s="671"/>
      <c r="N74" s="673"/>
    </row>
    <row r="75" spans="1:14" s="293" customFormat="1">
      <c r="A75" s="671"/>
      <c r="B75" s="671"/>
      <c r="C75" s="672"/>
      <c r="D75" s="671"/>
      <c r="E75" s="671"/>
      <c r="F75" s="671"/>
      <c r="G75" s="671"/>
      <c r="H75" s="671"/>
      <c r="I75" s="671"/>
      <c r="J75" s="671"/>
      <c r="K75" s="671"/>
      <c r="L75" s="671"/>
      <c r="M75" s="671"/>
      <c r="N75" s="673"/>
    </row>
    <row r="76" spans="1:14" s="293" customFormat="1">
      <c r="A76" s="671"/>
      <c r="B76" s="671"/>
      <c r="C76" s="672"/>
      <c r="D76" s="671"/>
      <c r="E76" s="671"/>
      <c r="F76" s="671"/>
      <c r="G76" s="671"/>
      <c r="H76" s="671"/>
      <c r="I76" s="671"/>
      <c r="J76" s="671"/>
      <c r="K76" s="671"/>
      <c r="L76" s="671"/>
      <c r="M76" s="671"/>
      <c r="N76" s="673"/>
    </row>
    <row r="77" spans="1:14" s="293" customFormat="1">
      <c r="A77" s="671"/>
      <c r="B77" s="671"/>
      <c r="C77" s="672"/>
      <c r="D77" s="671"/>
      <c r="E77" s="671"/>
      <c r="F77" s="671"/>
      <c r="G77" s="671"/>
      <c r="H77" s="671"/>
      <c r="I77" s="671"/>
      <c r="J77" s="671"/>
      <c r="K77" s="671"/>
      <c r="L77" s="671"/>
      <c r="M77" s="671"/>
      <c r="N77" s="673"/>
    </row>
    <row r="78" spans="1:14" s="293" customFormat="1">
      <c r="A78" s="671"/>
      <c r="B78" s="671"/>
      <c r="C78" s="672"/>
      <c r="D78" s="671"/>
      <c r="E78" s="671"/>
      <c r="F78" s="671"/>
      <c r="G78" s="671"/>
      <c r="H78" s="671"/>
      <c r="I78" s="671"/>
      <c r="J78" s="671"/>
      <c r="K78" s="671"/>
      <c r="L78" s="671"/>
      <c r="M78" s="671"/>
      <c r="N78" s="673"/>
    </row>
    <row r="79" spans="1:14" s="293" customFormat="1">
      <c r="A79" s="671"/>
      <c r="B79" s="671"/>
      <c r="C79" s="672"/>
      <c r="D79" s="671"/>
      <c r="E79" s="671"/>
      <c r="F79" s="671"/>
      <c r="G79" s="671"/>
      <c r="H79" s="671"/>
      <c r="I79" s="671"/>
      <c r="J79" s="671"/>
      <c r="K79" s="671"/>
      <c r="L79" s="671"/>
      <c r="M79" s="671"/>
      <c r="N79" s="673"/>
    </row>
    <row r="80" spans="1:14" s="293" customFormat="1">
      <c r="A80" s="671"/>
      <c r="B80" s="671"/>
      <c r="C80" s="672"/>
      <c r="D80" s="671"/>
      <c r="E80" s="671"/>
      <c r="F80" s="671"/>
      <c r="G80" s="671"/>
      <c r="H80" s="671"/>
      <c r="I80" s="671"/>
      <c r="J80" s="671"/>
      <c r="K80" s="671"/>
      <c r="L80" s="671"/>
      <c r="M80" s="671"/>
      <c r="N80" s="673"/>
    </row>
    <row r="81" spans="1:14" s="293" customFormat="1">
      <c r="A81" s="671"/>
      <c r="B81" s="671"/>
      <c r="C81" s="672"/>
      <c r="D81" s="671"/>
      <c r="E81" s="671"/>
      <c r="F81" s="671"/>
      <c r="G81" s="671"/>
      <c r="H81" s="671"/>
      <c r="I81" s="671"/>
      <c r="J81" s="671"/>
      <c r="K81" s="671"/>
      <c r="L81" s="671"/>
      <c r="M81" s="671"/>
      <c r="N81" s="673"/>
    </row>
    <row r="82" spans="1:14" s="293" customFormat="1">
      <c r="A82" s="671"/>
      <c r="B82" s="671"/>
      <c r="C82" s="672"/>
      <c r="D82" s="671"/>
      <c r="E82" s="671"/>
      <c r="F82" s="671"/>
      <c r="G82" s="671"/>
      <c r="H82" s="671"/>
      <c r="I82" s="671"/>
      <c r="J82" s="671"/>
      <c r="K82" s="671"/>
      <c r="L82" s="671"/>
      <c r="M82" s="671"/>
      <c r="N82" s="673"/>
    </row>
    <row r="83" spans="1:14" s="293" customFormat="1">
      <c r="A83" s="671"/>
      <c r="B83" s="671"/>
      <c r="C83" s="672"/>
      <c r="D83" s="671"/>
      <c r="E83" s="671"/>
      <c r="F83" s="671"/>
      <c r="G83" s="671"/>
      <c r="H83" s="671"/>
      <c r="I83" s="671"/>
      <c r="J83" s="671"/>
      <c r="K83" s="671"/>
      <c r="L83" s="671"/>
      <c r="M83" s="671"/>
      <c r="N83" s="673"/>
    </row>
    <row r="84" spans="1:14" s="293" customFormat="1">
      <c r="A84" s="671"/>
      <c r="B84" s="671"/>
      <c r="C84" s="672"/>
      <c r="D84" s="671"/>
      <c r="E84" s="671"/>
      <c r="F84" s="671"/>
      <c r="G84" s="671"/>
      <c r="H84" s="671"/>
      <c r="I84" s="671"/>
      <c r="J84" s="671"/>
      <c r="K84" s="671"/>
      <c r="L84" s="671"/>
      <c r="M84" s="671"/>
      <c r="N84" s="673"/>
    </row>
    <row r="85" spans="1:14" s="293" customFormat="1">
      <c r="A85" s="671"/>
      <c r="B85" s="671"/>
      <c r="C85" s="672"/>
      <c r="D85" s="671"/>
      <c r="E85" s="671"/>
      <c r="F85" s="671"/>
      <c r="G85" s="671"/>
      <c r="H85" s="671"/>
      <c r="I85" s="671"/>
      <c r="J85" s="671"/>
      <c r="K85" s="671"/>
      <c r="L85" s="671"/>
      <c r="M85" s="671"/>
      <c r="N85" s="673"/>
    </row>
    <row r="86" spans="1:14" s="293" customFormat="1">
      <c r="A86" s="671"/>
      <c r="B86" s="671"/>
      <c r="C86" s="672"/>
      <c r="D86" s="671"/>
      <c r="E86" s="671"/>
      <c r="F86" s="671"/>
      <c r="G86" s="671"/>
      <c r="H86" s="671"/>
      <c r="I86" s="671"/>
      <c r="J86" s="671"/>
      <c r="K86" s="671"/>
      <c r="L86" s="671"/>
      <c r="M86" s="671"/>
      <c r="N86" s="673"/>
    </row>
    <row r="87" spans="1:14" s="293" customFormat="1">
      <c r="A87" s="671"/>
      <c r="B87" s="671"/>
      <c r="C87" s="672"/>
      <c r="D87" s="671"/>
      <c r="E87" s="671"/>
      <c r="F87" s="671"/>
      <c r="G87" s="671"/>
      <c r="H87" s="671"/>
      <c r="I87" s="671"/>
      <c r="J87" s="671"/>
      <c r="K87" s="671"/>
      <c r="L87" s="671"/>
      <c r="M87" s="671"/>
      <c r="N87" s="673"/>
    </row>
    <row r="88" spans="1:14" s="293" customFormat="1">
      <c r="A88" s="671"/>
      <c r="B88" s="671"/>
      <c r="C88" s="672"/>
      <c r="D88" s="671"/>
      <c r="E88" s="671"/>
      <c r="F88" s="671"/>
      <c r="G88" s="671"/>
      <c r="H88" s="671"/>
      <c r="I88" s="671"/>
      <c r="J88" s="671"/>
      <c r="K88" s="671"/>
      <c r="L88" s="671"/>
      <c r="M88" s="671"/>
      <c r="N88" s="673"/>
    </row>
    <row r="89" spans="1:14" s="293" customFormat="1">
      <c r="A89" s="671"/>
      <c r="B89" s="671"/>
      <c r="C89" s="672"/>
      <c r="D89" s="671"/>
      <c r="E89" s="671"/>
      <c r="F89" s="671"/>
      <c r="G89" s="671"/>
      <c r="H89" s="671"/>
      <c r="I89" s="671"/>
      <c r="J89" s="671"/>
      <c r="K89" s="671"/>
      <c r="L89" s="671"/>
      <c r="M89" s="671"/>
      <c r="N89" s="673"/>
    </row>
    <row r="90" spans="1:14" s="293" customFormat="1">
      <c r="A90" s="671"/>
      <c r="B90" s="671"/>
      <c r="C90" s="672"/>
      <c r="D90" s="671"/>
      <c r="E90" s="671"/>
      <c r="F90" s="671"/>
      <c r="G90" s="671"/>
      <c r="H90" s="671"/>
      <c r="I90" s="671"/>
      <c r="J90" s="671"/>
      <c r="K90" s="671"/>
      <c r="L90" s="671"/>
      <c r="M90" s="671"/>
      <c r="N90" s="673"/>
    </row>
  </sheetData>
  <mergeCells count="17">
    <mergeCell ref="A71:F71"/>
    <mergeCell ref="A72:F72"/>
    <mergeCell ref="A62:E62"/>
    <mergeCell ref="A63:F63"/>
    <mergeCell ref="A67:F67"/>
    <mergeCell ref="A68:F68"/>
    <mergeCell ref="A69:F69"/>
    <mergeCell ref="A53:F53"/>
    <mergeCell ref="A56:F56"/>
    <mergeCell ref="A58:F58"/>
    <mergeCell ref="A59:F59"/>
    <mergeCell ref="A60:F60"/>
    <mergeCell ref="A1:N1"/>
    <mergeCell ref="A44:F44"/>
    <mergeCell ref="A45:F45"/>
    <mergeCell ref="A46:B46"/>
    <mergeCell ref="A52:F52"/>
  </mergeCells>
  <printOptions horizontalCentered="1"/>
  <pageMargins left="0.2" right="0.2" top="0.75" bottom="0.75" header="0.3" footer="0.3"/>
  <pageSetup scale="73" fitToHeight="0" orientation="landscape" r:id="rId1"/>
  <headerFooter>
    <oddHeader xml:space="preserve">&amp;CDRAFT NOT FOR DISTRIBUTION, INTERNAL USE ONLY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pageSetUpPr fitToPage="1"/>
  </sheetPr>
  <dimension ref="A1:N255"/>
  <sheetViews>
    <sheetView zoomScaleNormal="100" workbookViewId="0">
      <selection sqref="A1:N1"/>
    </sheetView>
  </sheetViews>
  <sheetFormatPr defaultColWidth="8.81640625" defaultRowHeight="14.5"/>
  <cols>
    <col min="1" max="1" width="39.54296875" style="370" customWidth="1"/>
    <col min="2" max="2" width="16" style="370" customWidth="1"/>
    <col min="3" max="3" width="7.7265625" style="370" customWidth="1"/>
    <col min="4" max="4" width="8.7265625" style="370" customWidth="1"/>
    <col min="5" max="5" width="10.7265625" style="370" customWidth="1"/>
    <col min="6" max="7" width="11" style="370" customWidth="1"/>
    <col min="8" max="8" width="9.81640625" style="370" customWidth="1"/>
    <col min="9" max="10" width="7.1796875" style="370" customWidth="1"/>
    <col min="11" max="11" width="7.7265625" style="370" customWidth="1"/>
    <col min="12" max="12" width="9.7265625" style="370" customWidth="1"/>
    <col min="13" max="13" width="8.81640625" style="370"/>
    <col min="14" max="14" width="47.26953125" style="370" customWidth="1"/>
    <col min="15" max="16384" width="8.81640625" style="370"/>
  </cols>
  <sheetData>
    <row r="1" spans="1:14" ht="15.5">
      <c r="A1" s="854" t="s">
        <v>165</v>
      </c>
      <c r="B1" s="854"/>
      <c r="C1" s="854"/>
      <c r="D1" s="854"/>
      <c r="E1" s="854"/>
      <c r="F1" s="854"/>
      <c r="G1" s="854"/>
      <c r="H1" s="854"/>
      <c r="I1" s="854"/>
      <c r="J1" s="854"/>
      <c r="K1" s="854"/>
      <c r="L1" s="854"/>
      <c r="M1" s="854"/>
      <c r="N1" s="854"/>
    </row>
    <row r="2" spans="1:14">
      <c r="A2" s="702" t="s">
        <v>501</v>
      </c>
      <c r="C2" s="639"/>
    </row>
    <row r="3" spans="1:14">
      <c r="A3" s="506" t="s">
        <v>1262</v>
      </c>
      <c r="C3" s="639"/>
      <c r="F3" s="29"/>
      <c r="G3" s="451" t="s">
        <v>210</v>
      </c>
      <c r="H3" s="29"/>
    </row>
    <row r="4" spans="1:14">
      <c r="A4" s="506" t="s">
        <v>468</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s="29" customFormat="1" ht="43.5">
      <c r="A7" s="485" t="s">
        <v>568</v>
      </c>
      <c r="B7" s="485" t="s">
        <v>954</v>
      </c>
      <c r="C7" s="486" t="s">
        <v>218</v>
      </c>
      <c r="D7" s="487">
        <v>1</v>
      </c>
      <c r="E7" s="443">
        <v>168</v>
      </c>
      <c r="F7" s="43">
        <f>SUM(G7:M7)</f>
        <v>173</v>
      </c>
      <c r="G7" s="258">
        <v>0</v>
      </c>
      <c r="H7" s="258">
        <v>0</v>
      </c>
      <c r="I7" s="258">
        <v>0</v>
      </c>
      <c r="J7" s="258">
        <v>0</v>
      </c>
      <c r="K7" s="258">
        <v>173</v>
      </c>
      <c r="L7" s="258">
        <f>62+86+20-168</f>
        <v>0</v>
      </c>
      <c r="M7" s="305"/>
      <c r="N7" s="318" t="s">
        <v>1263</v>
      </c>
    </row>
    <row r="8" spans="1:14" ht="15" customHeight="1">
      <c r="A8" s="485" t="s">
        <v>382</v>
      </c>
      <c r="B8" s="489"/>
      <c r="C8" s="486" t="s">
        <v>218</v>
      </c>
      <c r="D8" s="488"/>
      <c r="E8" s="42">
        <v>0</v>
      </c>
      <c r="F8" s="43">
        <f t="shared" ref="F8:F12" si="0">SUM(G8:M8)</f>
        <v>0</v>
      </c>
      <c r="G8" s="258">
        <v>0</v>
      </c>
      <c r="H8" s="258">
        <v>0</v>
      </c>
      <c r="I8" s="258">
        <v>0</v>
      </c>
      <c r="J8" s="258">
        <v>0</v>
      </c>
      <c r="K8" s="258">
        <v>0</v>
      </c>
      <c r="L8" s="258">
        <v>0</v>
      </c>
      <c r="M8" s="305">
        <v>0</v>
      </c>
      <c r="N8" s="319"/>
    </row>
    <row r="9" spans="1:14" ht="15" customHeight="1">
      <c r="A9" s="485" t="s">
        <v>382</v>
      </c>
      <c r="B9" s="489"/>
      <c r="C9" s="486" t="s">
        <v>218</v>
      </c>
      <c r="D9" s="488"/>
      <c r="E9" s="42">
        <v>0</v>
      </c>
      <c r="F9" s="43">
        <f t="shared" si="0"/>
        <v>0</v>
      </c>
      <c r="G9" s="258">
        <v>0</v>
      </c>
      <c r="H9" s="258">
        <v>0</v>
      </c>
      <c r="I9" s="258">
        <v>0</v>
      </c>
      <c r="J9" s="258">
        <v>0</v>
      </c>
      <c r="K9" s="258">
        <v>0</v>
      </c>
      <c r="L9" s="258">
        <v>0</v>
      </c>
      <c r="M9" s="305">
        <v>0</v>
      </c>
      <c r="N9" s="319"/>
    </row>
    <row r="10" spans="1:14" ht="15" customHeight="1">
      <c r="A10" s="485" t="s">
        <v>382</v>
      </c>
      <c r="B10" s="490"/>
      <c r="C10" s="486" t="s">
        <v>218</v>
      </c>
      <c r="D10" s="488"/>
      <c r="E10" s="42">
        <v>0</v>
      </c>
      <c r="F10" s="43">
        <f t="shared" si="0"/>
        <v>0</v>
      </c>
      <c r="G10" s="258">
        <v>0</v>
      </c>
      <c r="H10" s="258">
        <v>0</v>
      </c>
      <c r="I10" s="258">
        <v>0</v>
      </c>
      <c r="J10" s="258">
        <v>0</v>
      </c>
      <c r="K10" s="258">
        <v>0</v>
      </c>
      <c r="L10" s="258">
        <v>0</v>
      </c>
      <c r="M10" s="305">
        <v>0</v>
      </c>
      <c r="N10" s="319"/>
    </row>
    <row r="11" spans="1:14" ht="15" customHeight="1">
      <c r="A11" s="36" t="s">
        <v>314</v>
      </c>
      <c r="B11" s="36"/>
      <c r="C11" s="37" t="s">
        <v>218</v>
      </c>
      <c r="D11" s="39"/>
      <c r="E11" s="42"/>
      <c r="F11" s="43">
        <f t="shared" si="0"/>
        <v>0</v>
      </c>
      <c r="G11" s="258">
        <v>0</v>
      </c>
      <c r="H11" s="258">
        <v>0</v>
      </c>
      <c r="I11" s="258">
        <v>0</v>
      </c>
      <c r="J11" s="258">
        <v>0</v>
      </c>
      <c r="K11" s="258">
        <v>0</v>
      </c>
      <c r="L11" s="258">
        <v>0</v>
      </c>
      <c r="M11" s="305">
        <v>0</v>
      </c>
      <c r="N11" s="319"/>
    </row>
    <row r="12" spans="1:14" ht="15" customHeight="1">
      <c r="A12" s="36" t="s">
        <v>314</v>
      </c>
      <c r="B12" s="259"/>
      <c r="C12" s="37" t="s">
        <v>218</v>
      </c>
      <c r="D12" s="39"/>
      <c r="E12" s="42"/>
      <c r="F12" s="43">
        <f t="shared" si="0"/>
        <v>0</v>
      </c>
      <c r="G12" s="258">
        <v>0</v>
      </c>
      <c r="H12" s="258">
        <v>0</v>
      </c>
      <c r="I12" s="258">
        <v>0</v>
      </c>
      <c r="J12" s="258">
        <v>0</v>
      </c>
      <c r="K12" s="258">
        <v>0</v>
      </c>
      <c r="L12" s="258">
        <v>0</v>
      </c>
      <c r="M12" s="305">
        <v>0</v>
      </c>
      <c r="N12" s="319"/>
    </row>
    <row r="13" spans="1:14" ht="15" customHeight="1">
      <c r="A13" s="40" t="s">
        <v>219</v>
      </c>
      <c r="B13" s="260"/>
      <c r="C13" s="261"/>
      <c r="D13" s="41">
        <f t="shared" ref="D13:M13" si="1">SUM(D7:D12)</f>
        <v>1</v>
      </c>
      <c r="E13" s="42">
        <f t="shared" si="1"/>
        <v>168</v>
      </c>
      <c r="F13" s="43">
        <f t="shared" si="1"/>
        <v>173</v>
      </c>
      <c r="G13" s="43">
        <f t="shared" si="1"/>
        <v>0</v>
      </c>
      <c r="H13" s="43">
        <f t="shared" si="1"/>
        <v>0</v>
      </c>
      <c r="I13" s="43">
        <f t="shared" si="1"/>
        <v>0</v>
      </c>
      <c r="J13" s="43">
        <f t="shared" si="1"/>
        <v>0</v>
      </c>
      <c r="K13" s="43">
        <f t="shared" si="1"/>
        <v>173</v>
      </c>
      <c r="L13" s="43">
        <f t="shared" si="1"/>
        <v>0</v>
      </c>
      <c r="M13" s="43">
        <f t="shared" si="1"/>
        <v>0</v>
      </c>
      <c r="N13" s="43"/>
    </row>
    <row r="14" spans="1:14" ht="15" customHeight="1">
      <c r="A14" s="67" t="s">
        <v>220</v>
      </c>
      <c r="B14" s="68"/>
      <c r="C14" s="69"/>
      <c r="D14" s="68"/>
      <c r="E14" s="68"/>
      <c r="F14" s="70"/>
      <c r="G14" s="70"/>
      <c r="H14" s="70"/>
      <c r="I14" s="70"/>
      <c r="J14" s="70"/>
      <c r="K14" s="70"/>
      <c r="L14" s="70"/>
      <c r="M14" s="70"/>
      <c r="N14" s="70"/>
    </row>
    <row r="15" spans="1:14">
      <c r="A15" s="259" t="s">
        <v>278</v>
      </c>
      <c r="B15" s="259"/>
      <c r="C15" s="44">
        <v>253</v>
      </c>
      <c r="D15" s="45"/>
      <c r="E15" s="258">
        <v>0</v>
      </c>
      <c r="F15" s="303">
        <f t="shared" ref="F15:F20" si="2">SUM(G15:M15)</f>
        <v>0</v>
      </c>
      <c r="G15" s="304">
        <v>0</v>
      </c>
      <c r="H15" s="304">
        <v>0</v>
      </c>
      <c r="I15" s="304">
        <v>0</v>
      </c>
      <c r="J15" s="304">
        <v>0</v>
      </c>
      <c r="K15" s="304">
        <v>0</v>
      </c>
      <c r="L15" s="304">
        <v>0</v>
      </c>
      <c r="M15" s="305">
        <v>0</v>
      </c>
      <c r="N15" s="491"/>
    </row>
    <row r="16" spans="1:14">
      <c r="A16" s="259" t="s">
        <v>278</v>
      </c>
      <c r="B16" s="259"/>
      <c r="C16" s="44">
        <v>253</v>
      </c>
      <c r="D16" s="45"/>
      <c r="E16" s="258">
        <v>0</v>
      </c>
      <c r="F16" s="303">
        <f t="shared" si="2"/>
        <v>0</v>
      </c>
      <c r="G16" s="304">
        <v>0</v>
      </c>
      <c r="H16" s="304">
        <v>0</v>
      </c>
      <c r="I16" s="304">
        <v>0</v>
      </c>
      <c r="J16" s="304">
        <v>0</v>
      </c>
      <c r="K16" s="304">
        <v>0</v>
      </c>
      <c r="L16" s="304">
        <v>0</v>
      </c>
      <c r="M16" s="305">
        <v>0</v>
      </c>
      <c r="N16" s="491"/>
    </row>
    <row r="17" spans="1:14" ht="43.5">
      <c r="A17" s="259" t="s">
        <v>569</v>
      </c>
      <c r="B17" s="544" t="s">
        <v>899</v>
      </c>
      <c r="C17" s="44">
        <v>253</v>
      </c>
      <c r="D17" s="45"/>
      <c r="E17" s="258">
        <v>1305</v>
      </c>
      <c r="F17" s="303">
        <f t="shared" si="2"/>
        <v>1338</v>
      </c>
      <c r="G17" s="304">
        <v>0</v>
      </c>
      <c r="H17" s="304">
        <v>0</v>
      </c>
      <c r="I17" s="304">
        <v>0</v>
      </c>
      <c r="J17" s="304">
        <v>0</v>
      </c>
      <c r="K17" s="304">
        <v>1338</v>
      </c>
      <c r="L17" s="304">
        <v>0</v>
      </c>
      <c r="M17" s="305">
        <v>0</v>
      </c>
      <c r="N17" s="491" t="s">
        <v>1264</v>
      </c>
    </row>
    <row r="18" spans="1:14">
      <c r="A18" s="259" t="s">
        <v>278</v>
      </c>
      <c r="B18" s="603"/>
      <c r="C18" s="44">
        <v>253</v>
      </c>
      <c r="D18" s="262"/>
      <c r="E18" s="258">
        <v>0</v>
      </c>
      <c r="F18" s="350">
        <f t="shared" ref="F18" si="3">SUM(G18:M18)</f>
        <v>0</v>
      </c>
      <c r="G18" s="304">
        <v>0</v>
      </c>
      <c r="H18" s="304">
        <v>0</v>
      </c>
      <c r="I18" s="304">
        <v>0</v>
      </c>
      <c r="J18" s="304">
        <v>0</v>
      </c>
      <c r="K18" s="304">
        <v>0</v>
      </c>
      <c r="L18" s="304">
        <v>0</v>
      </c>
      <c r="M18" s="305">
        <v>0</v>
      </c>
      <c r="N18" s="603"/>
    </row>
    <row r="19" spans="1:14" ht="26">
      <c r="A19" s="259" t="s">
        <v>569</v>
      </c>
      <c r="B19" s="603" t="s">
        <v>570</v>
      </c>
      <c r="C19" s="44">
        <v>253</v>
      </c>
      <c r="D19" s="262"/>
      <c r="E19" s="258">
        <v>60</v>
      </c>
      <c r="F19" s="350">
        <f t="shared" si="2"/>
        <v>60</v>
      </c>
      <c r="G19" s="304">
        <v>0</v>
      </c>
      <c r="H19" s="304">
        <v>0</v>
      </c>
      <c r="I19" s="304">
        <v>0</v>
      </c>
      <c r="J19" s="304">
        <v>0</v>
      </c>
      <c r="K19" s="304">
        <v>60</v>
      </c>
      <c r="L19" s="304">
        <f>60-60</f>
        <v>0</v>
      </c>
      <c r="M19" s="305">
        <v>0</v>
      </c>
      <c r="N19" s="703" t="s">
        <v>1265</v>
      </c>
    </row>
    <row r="20" spans="1:14">
      <c r="A20" s="259" t="s">
        <v>278</v>
      </c>
      <c r="B20" s="603"/>
      <c r="C20" s="44">
        <v>253</v>
      </c>
      <c r="D20" s="262"/>
      <c r="E20" s="258">
        <v>0</v>
      </c>
      <c r="F20" s="350">
        <f t="shared" si="2"/>
        <v>0</v>
      </c>
      <c r="G20" s="304">
        <v>0</v>
      </c>
      <c r="H20" s="304">
        <v>0</v>
      </c>
      <c r="I20" s="304">
        <v>0</v>
      </c>
      <c r="J20" s="304">
        <v>0</v>
      </c>
      <c r="K20" s="304">
        <v>0</v>
      </c>
      <c r="L20" s="304">
        <v>0</v>
      </c>
      <c r="M20" s="305">
        <v>0</v>
      </c>
      <c r="N20" s="603"/>
    </row>
    <row r="21" spans="1:14">
      <c r="A21" s="40" t="s">
        <v>225</v>
      </c>
      <c r="B21" s="260"/>
      <c r="C21" s="261"/>
      <c r="D21" s="262">
        <f t="shared" ref="D21:M21" si="4">SUM(D15:D20)</f>
        <v>0</v>
      </c>
      <c r="E21" s="42">
        <f>SUM(E15:E20)</f>
        <v>1365</v>
      </c>
      <c r="F21" s="43">
        <f t="shared" si="4"/>
        <v>1398</v>
      </c>
      <c r="G21" s="43">
        <f t="shared" si="4"/>
        <v>0</v>
      </c>
      <c r="H21" s="43">
        <f t="shared" si="4"/>
        <v>0</v>
      </c>
      <c r="I21" s="43">
        <f t="shared" si="4"/>
        <v>0</v>
      </c>
      <c r="J21" s="43">
        <f t="shared" si="4"/>
        <v>0</v>
      </c>
      <c r="K21" s="43">
        <f t="shared" si="4"/>
        <v>1398</v>
      </c>
      <c r="L21" s="43">
        <f t="shared" si="4"/>
        <v>0</v>
      </c>
      <c r="M21" s="43">
        <f t="shared" si="4"/>
        <v>0</v>
      </c>
      <c r="N21" s="348"/>
    </row>
    <row r="22" spans="1:14" s="351" customFormat="1">
      <c r="A22" s="125" t="s">
        <v>226</v>
      </c>
      <c r="B22" s="126"/>
      <c r="C22" s="126"/>
      <c r="D22" s="126"/>
      <c r="E22" s="87"/>
      <c r="F22" s="87"/>
      <c r="G22" s="87"/>
      <c r="H22" s="87"/>
      <c r="I22" s="87"/>
      <c r="J22" s="87"/>
      <c r="K22" s="87"/>
      <c r="L22" s="87"/>
      <c r="M22" s="87"/>
      <c r="N22" s="128"/>
    </row>
    <row r="23" spans="1:14" ht="15" customHeight="1">
      <c r="A23" s="259" t="s">
        <v>227</v>
      </c>
      <c r="B23" s="36"/>
      <c r="C23" s="37" t="s">
        <v>228</v>
      </c>
      <c r="D23" s="38">
        <v>0</v>
      </c>
      <c r="E23" s="258">
        <v>12</v>
      </c>
      <c r="F23" s="303">
        <f t="shared" ref="F23:F36" si="5">SUM(G23:M23)</f>
        <v>12</v>
      </c>
      <c r="G23" s="304">
        <v>0</v>
      </c>
      <c r="H23" s="304">
        <v>0</v>
      </c>
      <c r="I23" s="304">
        <v>0</v>
      </c>
      <c r="J23" s="304">
        <v>0</v>
      </c>
      <c r="K23" s="304">
        <v>12</v>
      </c>
      <c r="L23" s="304">
        <f>12-12</f>
        <v>0</v>
      </c>
      <c r="M23" s="305">
        <v>0</v>
      </c>
      <c r="N23" s="318"/>
    </row>
    <row r="24" spans="1:14">
      <c r="A24" s="259" t="s">
        <v>229</v>
      </c>
      <c r="B24" s="36"/>
      <c r="C24" s="44" t="s">
        <v>230</v>
      </c>
      <c r="D24" s="45"/>
      <c r="E24" s="258">
        <v>0</v>
      </c>
      <c r="F24" s="303">
        <f t="shared" si="5"/>
        <v>0</v>
      </c>
      <c r="G24" s="304">
        <v>0</v>
      </c>
      <c r="H24" s="304">
        <v>0</v>
      </c>
      <c r="I24" s="304">
        <v>0</v>
      </c>
      <c r="J24" s="304">
        <v>0</v>
      </c>
      <c r="K24" s="304">
        <v>0</v>
      </c>
      <c r="L24" s="304">
        <v>0</v>
      </c>
      <c r="M24" s="305">
        <v>0</v>
      </c>
      <c r="N24" s="348"/>
    </row>
    <row r="25" spans="1:14">
      <c r="A25" s="259" t="s">
        <v>231</v>
      </c>
      <c r="B25" s="36"/>
      <c r="C25" s="44" t="s">
        <v>232</v>
      </c>
      <c r="D25" s="45"/>
      <c r="E25" s="258">
        <v>0</v>
      </c>
      <c r="F25" s="303">
        <f t="shared" si="5"/>
        <v>0</v>
      </c>
      <c r="G25" s="304">
        <v>0</v>
      </c>
      <c r="H25" s="304">
        <v>0</v>
      </c>
      <c r="I25" s="304">
        <v>0</v>
      </c>
      <c r="J25" s="304">
        <v>0</v>
      </c>
      <c r="K25" s="304">
        <v>0</v>
      </c>
      <c r="L25" s="304">
        <v>0</v>
      </c>
      <c r="M25" s="305">
        <v>0</v>
      </c>
      <c r="N25" s="348"/>
    </row>
    <row r="26" spans="1:14">
      <c r="A26" s="259" t="s">
        <v>233</v>
      </c>
      <c r="B26" s="36"/>
      <c r="C26" s="44" t="s">
        <v>234</v>
      </c>
      <c r="D26" s="45"/>
      <c r="E26" s="258">
        <v>0</v>
      </c>
      <c r="F26" s="303">
        <f t="shared" si="5"/>
        <v>0</v>
      </c>
      <c r="G26" s="304">
        <v>0</v>
      </c>
      <c r="H26" s="304">
        <v>0</v>
      </c>
      <c r="I26" s="304">
        <v>0</v>
      </c>
      <c r="J26" s="304">
        <v>0</v>
      </c>
      <c r="K26" s="304">
        <v>0</v>
      </c>
      <c r="L26" s="304">
        <v>0</v>
      </c>
      <c r="M26" s="305">
        <v>0</v>
      </c>
      <c r="N26" s="348"/>
    </row>
    <row r="27" spans="1:14" ht="26">
      <c r="A27" s="492" t="s">
        <v>571</v>
      </c>
      <c r="B27" s="492" t="s">
        <v>572</v>
      </c>
      <c r="C27" s="44">
        <v>251</v>
      </c>
      <c r="D27" s="45"/>
      <c r="E27" s="258">
        <v>0</v>
      </c>
      <c r="F27" s="303">
        <f>SUM(G27:M27)</f>
        <v>2</v>
      </c>
      <c r="G27" s="304">
        <v>0</v>
      </c>
      <c r="H27" s="304">
        <v>0</v>
      </c>
      <c r="I27" s="304">
        <v>0</v>
      </c>
      <c r="J27" s="304">
        <v>0</v>
      </c>
      <c r="K27" s="304">
        <v>2</v>
      </c>
      <c r="L27" s="304">
        <f>556-556</f>
        <v>0</v>
      </c>
      <c r="M27" s="305">
        <v>0</v>
      </c>
      <c r="N27" s="704" t="s">
        <v>1266</v>
      </c>
    </row>
    <row r="28" spans="1:14" ht="29">
      <c r="A28" s="824" t="s">
        <v>1403</v>
      </c>
      <c r="B28" s="36"/>
      <c r="C28" s="44">
        <v>252</v>
      </c>
      <c r="D28" s="45"/>
      <c r="E28" s="258">
        <v>0</v>
      </c>
      <c r="F28" s="303">
        <f t="shared" ref="F28:F29" si="6">SUM(G28:M28)</f>
        <v>21</v>
      </c>
      <c r="G28" s="304"/>
      <c r="H28" s="304"/>
      <c r="I28" s="304"/>
      <c r="J28" s="304"/>
      <c r="K28" s="304">
        <v>21</v>
      </c>
      <c r="L28" s="304"/>
      <c r="M28" s="305"/>
      <c r="N28" s="318" t="s">
        <v>1402</v>
      </c>
    </row>
    <row r="29" spans="1:14" ht="29">
      <c r="A29" s="816" t="s">
        <v>1404</v>
      </c>
      <c r="B29" s="36"/>
      <c r="C29" s="44">
        <v>252</v>
      </c>
      <c r="D29" s="45"/>
      <c r="E29" s="258">
        <v>0</v>
      </c>
      <c r="F29" s="303">
        <f t="shared" si="6"/>
        <v>21</v>
      </c>
      <c r="G29" s="304"/>
      <c r="H29" s="304"/>
      <c r="I29" s="304"/>
      <c r="J29" s="304"/>
      <c r="K29" s="304">
        <v>21</v>
      </c>
      <c r="L29" s="304"/>
      <c r="M29" s="305"/>
      <c r="N29" s="318" t="s">
        <v>1402</v>
      </c>
    </row>
    <row r="30" spans="1:14">
      <c r="A30" s="259" t="s">
        <v>242</v>
      </c>
      <c r="B30" s="36"/>
      <c r="C30" s="44">
        <v>252</v>
      </c>
      <c r="D30" s="45"/>
      <c r="E30" s="258">
        <v>0</v>
      </c>
      <c r="F30" s="303">
        <f t="shared" si="5"/>
        <v>0</v>
      </c>
      <c r="G30" s="304">
        <v>0</v>
      </c>
      <c r="H30" s="304">
        <v>0</v>
      </c>
      <c r="I30" s="304">
        <v>0</v>
      </c>
      <c r="J30" s="304">
        <v>0</v>
      </c>
      <c r="K30" s="304">
        <v>0</v>
      </c>
      <c r="L30" s="304"/>
      <c r="M30" s="305">
        <v>0</v>
      </c>
      <c r="N30" s="348"/>
    </row>
    <row r="31" spans="1:14">
      <c r="A31" s="259" t="s">
        <v>243</v>
      </c>
      <c r="B31" s="36"/>
      <c r="C31" s="44">
        <v>252</v>
      </c>
      <c r="D31" s="45"/>
      <c r="E31" s="258">
        <v>15</v>
      </c>
      <c r="F31" s="303">
        <f t="shared" si="5"/>
        <v>15</v>
      </c>
      <c r="G31" s="304">
        <v>0</v>
      </c>
      <c r="H31" s="304">
        <v>0</v>
      </c>
      <c r="I31" s="304">
        <v>0</v>
      </c>
      <c r="J31" s="304">
        <v>0</v>
      </c>
      <c r="K31" s="304">
        <v>15</v>
      </c>
      <c r="L31" s="304">
        <f>15-15</f>
        <v>0</v>
      </c>
      <c r="M31" s="305">
        <v>0</v>
      </c>
      <c r="N31" s="604" t="s">
        <v>794</v>
      </c>
    </row>
    <row r="32" spans="1:14">
      <c r="A32" s="259" t="s">
        <v>244</v>
      </c>
      <c r="B32" s="36"/>
      <c r="C32" s="44">
        <v>253</v>
      </c>
      <c r="D32" s="259"/>
      <c r="E32" s="258">
        <v>0</v>
      </c>
      <c r="F32" s="303">
        <f t="shared" si="5"/>
        <v>0</v>
      </c>
      <c r="G32" s="304">
        <v>0</v>
      </c>
      <c r="H32" s="304">
        <v>0</v>
      </c>
      <c r="I32" s="304">
        <v>0</v>
      </c>
      <c r="J32" s="304">
        <v>0</v>
      </c>
      <c r="K32" s="304">
        <v>0</v>
      </c>
      <c r="L32" s="304">
        <v>0</v>
      </c>
      <c r="M32" s="305">
        <v>0</v>
      </c>
      <c r="N32" s="348"/>
    </row>
    <row r="33" spans="1:14">
      <c r="A33" s="259" t="s">
        <v>245</v>
      </c>
      <c r="B33" s="36"/>
      <c r="C33" s="44">
        <v>255</v>
      </c>
      <c r="D33" s="259"/>
      <c r="E33" s="258">
        <v>0</v>
      </c>
      <c r="F33" s="303">
        <f t="shared" si="5"/>
        <v>0</v>
      </c>
      <c r="G33" s="304">
        <v>0</v>
      </c>
      <c r="H33" s="304">
        <v>0</v>
      </c>
      <c r="I33" s="304">
        <v>0</v>
      </c>
      <c r="J33" s="304">
        <v>0</v>
      </c>
      <c r="K33" s="304">
        <v>0</v>
      </c>
      <c r="L33" s="304">
        <v>0</v>
      </c>
      <c r="M33" s="305">
        <v>0</v>
      </c>
      <c r="N33" s="348"/>
    </row>
    <row r="34" spans="1:14">
      <c r="A34" s="259" t="s">
        <v>246</v>
      </c>
      <c r="B34" s="36"/>
      <c r="C34" s="44">
        <v>256</v>
      </c>
      <c r="D34" s="259"/>
      <c r="E34" s="258">
        <v>0</v>
      </c>
      <c r="F34" s="303">
        <f t="shared" si="5"/>
        <v>0</v>
      </c>
      <c r="G34" s="304">
        <v>0</v>
      </c>
      <c r="H34" s="304">
        <v>0</v>
      </c>
      <c r="I34" s="304">
        <v>0</v>
      </c>
      <c r="J34" s="304">
        <v>0</v>
      </c>
      <c r="K34" s="304">
        <v>0</v>
      </c>
      <c r="L34" s="304">
        <v>0</v>
      </c>
      <c r="M34" s="305">
        <v>0</v>
      </c>
      <c r="N34" s="348"/>
    </row>
    <row r="35" spans="1:14">
      <c r="A35" s="259" t="s">
        <v>247</v>
      </c>
      <c r="B35" s="36"/>
      <c r="C35" s="44">
        <v>257</v>
      </c>
      <c r="D35" s="259"/>
      <c r="E35" s="258">
        <v>0</v>
      </c>
      <c r="F35" s="303">
        <f t="shared" si="5"/>
        <v>0</v>
      </c>
      <c r="G35" s="304">
        <v>0</v>
      </c>
      <c r="H35" s="304">
        <v>0</v>
      </c>
      <c r="I35" s="304">
        <v>0</v>
      </c>
      <c r="J35" s="304">
        <v>0</v>
      </c>
      <c r="K35" s="304">
        <v>0</v>
      </c>
      <c r="L35" s="304">
        <v>0</v>
      </c>
      <c r="M35" s="305">
        <v>0</v>
      </c>
      <c r="N35" s="348"/>
    </row>
    <row r="36" spans="1:14">
      <c r="A36" s="259" t="s">
        <v>248</v>
      </c>
      <c r="B36" s="36"/>
      <c r="C36" s="44" t="s">
        <v>249</v>
      </c>
      <c r="D36" s="259"/>
      <c r="E36" s="258">
        <v>1</v>
      </c>
      <c r="F36" s="303">
        <f t="shared" si="5"/>
        <v>1</v>
      </c>
      <c r="G36" s="304">
        <v>0</v>
      </c>
      <c r="H36" s="304">
        <v>0</v>
      </c>
      <c r="I36" s="304">
        <v>0</v>
      </c>
      <c r="J36" s="304">
        <v>0</v>
      </c>
      <c r="K36" s="304">
        <v>1</v>
      </c>
      <c r="L36" s="304">
        <f>1-1</f>
        <v>0</v>
      </c>
      <c r="M36" s="305">
        <v>0</v>
      </c>
      <c r="N36" s="348"/>
    </row>
    <row r="37" spans="1:14">
      <c r="A37" s="260" t="s">
        <v>250</v>
      </c>
      <c r="B37" s="36"/>
      <c r="C37" s="261" t="s">
        <v>251</v>
      </c>
      <c r="D37" s="260"/>
      <c r="E37" s="258">
        <v>4</v>
      </c>
      <c r="F37" s="303">
        <f>SUM(G37:M37)</f>
        <v>6</v>
      </c>
      <c r="G37" s="304">
        <v>0</v>
      </c>
      <c r="H37" s="304">
        <v>0</v>
      </c>
      <c r="I37" s="304">
        <v>0</v>
      </c>
      <c r="J37" s="304"/>
      <c r="K37" s="304">
        <v>6</v>
      </c>
      <c r="L37" s="304">
        <f>4-4</f>
        <v>0</v>
      </c>
      <c r="M37" s="305">
        <v>0</v>
      </c>
      <c r="N37" s="318" t="s">
        <v>1267</v>
      </c>
    </row>
    <row r="38" spans="1:14" ht="29">
      <c r="A38" s="260" t="s">
        <v>252</v>
      </c>
      <c r="B38" s="378"/>
      <c r="C38" s="261" t="s">
        <v>253</v>
      </c>
      <c r="D38" s="260"/>
      <c r="E38" s="311">
        <v>-133</v>
      </c>
      <c r="F38" s="303">
        <f>SUM(G38:M38)</f>
        <v>0</v>
      </c>
      <c r="G38" s="304">
        <v>0</v>
      </c>
      <c r="H38" s="304">
        <v>0</v>
      </c>
      <c r="I38" s="304">
        <v>0</v>
      </c>
      <c r="J38" s="304">
        <v>0</v>
      </c>
      <c r="K38" s="304">
        <v>0</v>
      </c>
      <c r="L38" s="304"/>
      <c r="M38" s="305">
        <v>0</v>
      </c>
      <c r="N38" s="318" t="s">
        <v>992</v>
      </c>
    </row>
    <row r="39" spans="1:14">
      <c r="A39" s="260" t="s">
        <v>252</v>
      </c>
      <c r="B39" s="378"/>
      <c r="C39" s="261" t="s">
        <v>253</v>
      </c>
      <c r="D39" s="260"/>
      <c r="E39" s="311">
        <v>0</v>
      </c>
      <c r="F39" s="303">
        <f>SUM(G39:M39)</f>
        <v>0</v>
      </c>
      <c r="G39" s="163">
        <v>0</v>
      </c>
      <c r="H39" s="163">
        <v>0</v>
      </c>
      <c r="I39" s="163">
        <v>0</v>
      </c>
      <c r="J39" s="163">
        <v>0</v>
      </c>
      <c r="K39" s="163">
        <f>-21-21+42</f>
        <v>0</v>
      </c>
      <c r="L39" s="163">
        <f>-391+391</f>
        <v>0</v>
      </c>
      <c r="M39" s="164">
        <v>0</v>
      </c>
      <c r="N39" s="318" t="s">
        <v>1400</v>
      </c>
    </row>
    <row r="40" spans="1:14">
      <c r="A40" s="40" t="s">
        <v>254</v>
      </c>
      <c r="B40" s="260"/>
      <c r="C40" s="261"/>
      <c r="D40" s="262"/>
      <c r="E40" s="42">
        <f t="shared" ref="E40:M40" si="7">SUM(E23:E39)</f>
        <v>-101</v>
      </c>
      <c r="F40" s="43">
        <f t="shared" si="7"/>
        <v>78</v>
      </c>
      <c r="G40" s="43">
        <f t="shared" si="7"/>
        <v>0</v>
      </c>
      <c r="H40" s="43">
        <f t="shared" si="7"/>
        <v>0</v>
      </c>
      <c r="I40" s="43">
        <f t="shared" si="7"/>
        <v>0</v>
      </c>
      <c r="J40" s="43">
        <f t="shared" si="7"/>
        <v>0</v>
      </c>
      <c r="K40" s="43">
        <f t="shared" si="7"/>
        <v>78</v>
      </c>
      <c r="L40" s="43">
        <f t="shared" si="7"/>
        <v>0</v>
      </c>
      <c r="M40" s="43">
        <f t="shared" si="7"/>
        <v>0</v>
      </c>
      <c r="N40" s="348"/>
    </row>
    <row r="41" spans="1:14">
      <c r="A41" s="40" t="s">
        <v>573</v>
      </c>
      <c r="B41" s="51"/>
      <c r="C41" s="147"/>
      <c r="D41" s="262"/>
      <c r="E41" s="236">
        <v>0</v>
      </c>
      <c r="F41" s="235">
        <f>SUM(G41:M41)</f>
        <v>461</v>
      </c>
      <c r="G41" s="235">
        <v>0</v>
      </c>
      <c r="H41" s="235">
        <v>0</v>
      </c>
      <c r="I41" s="235">
        <v>0</v>
      </c>
      <c r="J41" s="235">
        <v>0</v>
      </c>
      <c r="K41" s="235">
        <v>120</v>
      </c>
      <c r="L41" s="637">
        <v>341</v>
      </c>
      <c r="M41" s="235">
        <v>0</v>
      </c>
      <c r="N41" s="318"/>
    </row>
    <row r="42" spans="1:14">
      <c r="A42" s="40" t="s">
        <v>256</v>
      </c>
      <c r="B42" s="46"/>
      <c r="C42" s="47"/>
      <c r="D42" s="48">
        <f>D40+D21+D13</f>
        <v>1</v>
      </c>
      <c r="E42" s="42">
        <f t="shared" ref="E42:M42" si="8">E40+E21+E13-E41</f>
        <v>1432</v>
      </c>
      <c r="F42" s="17">
        <f t="shared" si="8"/>
        <v>1188</v>
      </c>
      <c r="G42" s="17">
        <f t="shared" si="8"/>
        <v>0</v>
      </c>
      <c r="H42" s="17">
        <f t="shared" si="8"/>
        <v>0</v>
      </c>
      <c r="I42" s="17">
        <f t="shared" si="8"/>
        <v>0</v>
      </c>
      <c r="J42" s="17">
        <f t="shared" si="8"/>
        <v>0</v>
      </c>
      <c r="K42" s="17">
        <f t="shared" si="8"/>
        <v>1529</v>
      </c>
      <c r="L42" s="17">
        <f t="shared" si="8"/>
        <v>-341</v>
      </c>
      <c r="M42" s="17">
        <f t="shared" si="8"/>
        <v>0</v>
      </c>
      <c r="N42" s="346"/>
    </row>
    <row r="43" spans="1:14">
      <c r="A43" s="148" t="s">
        <v>574</v>
      </c>
      <c r="C43" s="29"/>
      <c r="D43" s="216"/>
      <c r="E43" s="55">
        <f>E42-C47-E44</f>
        <v>1432</v>
      </c>
      <c r="F43" s="420">
        <f>+F42-M42-B49</f>
        <v>1107</v>
      </c>
    </row>
    <row r="44" spans="1:14">
      <c r="A44" s="315"/>
      <c r="C44" s="29"/>
      <c r="D44" s="216"/>
      <c r="E44" s="215"/>
      <c r="F44" s="215"/>
      <c r="G44" s="257"/>
    </row>
    <row r="45" spans="1:14">
      <c r="A45" s="315"/>
      <c r="C45" s="29"/>
      <c r="D45" s="216"/>
      <c r="E45" s="215"/>
      <c r="F45" s="215"/>
    </row>
    <row r="46" spans="1:14">
      <c r="A46" s="56" t="s">
        <v>300</v>
      </c>
      <c r="B46" s="370" t="s">
        <v>1012</v>
      </c>
      <c r="C46" s="370" t="s">
        <v>735</v>
      </c>
    </row>
    <row r="47" spans="1:14" ht="15" customHeight="1">
      <c r="A47" s="57" t="s">
        <v>301</v>
      </c>
      <c r="B47" s="58">
        <v>81</v>
      </c>
      <c r="C47" s="58">
        <f>1011-910+30-131</f>
        <v>0</v>
      </c>
      <c r="D47" s="29" t="s">
        <v>1268</v>
      </c>
      <c r="E47" s="606"/>
      <c r="F47" s="606"/>
      <c r="G47" s="606"/>
      <c r="H47" s="606"/>
      <c r="I47" s="528"/>
      <c r="J47" s="528"/>
      <c r="K47" s="528"/>
      <c r="L47" s="528"/>
      <c r="M47" s="528"/>
    </row>
    <row r="48" spans="1:14" ht="14.9" customHeight="1">
      <c r="A48" s="259" t="s">
        <v>302</v>
      </c>
      <c r="B48" s="59">
        <v>0</v>
      </c>
      <c r="C48" s="59">
        <v>0</v>
      </c>
      <c r="E48" s="805"/>
      <c r="F48" s="805"/>
      <c r="G48" s="805"/>
      <c r="H48" s="805"/>
      <c r="I48" s="805"/>
      <c r="J48" s="805"/>
      <c r="K48" s="805"/>
      <c r="L48" s="805"/>
      <c r="M48" s="805"/>
    </row>
    <row r="49" spans="1:14">
      <c r="A49" s="277" t="s">
        <v>495</v>
      </c>
      <c r="B49" s="278">
        <f>+B47-B48</f>
        <v>81</v>
      </c>
      <c r="C49" s="278">
        <f>+C47-C48</f>
        <v>0</v>
      </c>
      <c r="D49" s="804"/>
      <c r="E49" s="805"/>
      <c r="F49" s="805"/>
      <c r="G49" s="805"/>
      <c r="H49" s="805"/>
      <c r="I49" s="805"/>
      <c r="J49" s="805"/>
      <c r="K49" s="805"/>
      <c r="L49" s="805"/>
      <c r="M49" s="805"/>
    </row>
    <row r="52" spans="1:14" ht="15" thickBot="1">
      <c r="A52" s="31"/>
      <c r="B52" s="31"/>
      <c r="C52" s="32"/>
      <c r="D52" s="31"/>
      <c r="E52" s="31"/>
      <c r="F52" s="31"/>
      <c r="G52" s="31"/>
      <c r="H52" s="31"/>
      <c r="I52" s="31"/>
      <c r="J52" s="31"/>
      <c r="K52" s="31"/>
      <c r="L52" s="31"/>
      <c r="M52" s="31"/>
      <c r="N52" s="536"/>
    </row>
    <row r="53" spans="1:14" ht="15.5">
      <c r="A53" s="873" t="s">
        <v>257</v>
      </c>
      <c r="B53" s="874"/>
      <c r="C53" s="874"/>
      <c r="D53" s="874"/>
      <c r="E53" s="874"/>
      <c r="F53" s="874"/>
      <c r="G53" s="550"/>
      <c r="H53" s="31"/>
      <c r="I53" s="31"/>
      <c r="J53" s="31"/>
      <c r="K53" s="31"/>
      <c r="L53" s="31"/>
      <c r="M53" s="31"/>
      <c r="N53" s="536"/>
    </row>
    <row r="54" spans="1:14" ht="15.5">
      <c r="A54" s="875"/>
      <c r="B54" s="876"/>
      <c r="C54" s="876"/>
      <c r="D54" s="876"/>
      <c r="E54" s="876"/>
      <c r="F54" s="876"/>
      <c r="G54" s="551"/>
      <c r="H54" s="31"/>
      <c r="I54" s="31"/>
      <c r="J54" s="31"/>
      <c r="K54" s="31"/>
      <c r="L54" s="31"/>
      <c r="M54" s="31"/>
      <c r="N54" s="536"/>
    </row>
    <row r="55" spans="1:14">
      <c r="A55" s="877" t="s">
        <v>258</v>
      </c>
      <c r="B55" s="878"/>
      <c r="C55" s="552"/>
      <c r="D55" s="552"/>
      <c r="E55" s="552"/>
      <c r="F55" s="552"/>
      <c r="G55" s="551"/>
      <c r="H55" s="31"/>
      <c r="I55" s="31"/>
      <c r="J55" s="31"/>
      <c r="K55" s="31"/>
      <c r="L55" s="31"/>
      <c r="M55" s="31"/>
      <c r="N55" s="536"/>
    </row>
    <row r="56" spans="1:14">
      <c r="A56" s="553" t="s">
        <v>1009</v>
      </c>
      <c r="B56" s="554">
        <f>+E42</f>
        <v>1432</v>
      </c>
      <c r="C56" s="555"/>
      <c r="D56" s="556"/>
      <c r="E56" s="556"/>
      <c r="F56" s="556"/>
      <c r="G56" s="551"/>
      <c r="H56" s="31"/>
      <c r="I56" s="31"/>
      <c r="J56" s="31"/>
      <c r="K56" s="31"/>
      <c r="L56" s="31"/>
      <c r="M56" s="31"/>
      <c r="N56" s="536"/>
    </row>
    <row r="57" spans="1:14">
      <c r="A57" s="557" t="s">
        <v>1010</v>
      </c>
      <c r="B57" s="558">
        <f>+F42</f>
        <v>1188</v>
      </c>
      <c r="C57" s="555"/>
      <c r="D57" s="556"/>
      <c r="E57" s="556"/>
      <c r="F57" s="556"/>
      <c r="G57" s="551"/>
      <c r="H57" s="31"/>
      <c r="I57" s="31"/>
      <c r="J57" s="31"/>
      <c r="K57" s="31"/>
      <c r="L57" s="31"/>
      <c r="M57" s="31"/>
      <c r="N57" s="536"/>
    </row>
    <row r="58" spans="1:14">
      <c r="A58" s="559" t="s">
        <v>259</v>
      </c>
      <c r="B58" s="560">
        <f>+B57-B56</f>
        <v>-244</v>
      </c>
      <c r="C58" s="555"/>
      <c r="D58" s="556"/>
      <c r="E58" s="556"/>
      <c r="F58" s="556"/>
      <c r="G58" s="551"/>
      <c r="H58" s="31"/>
      <c r="I58" s="31"/>
      <c r="J58" s="31"/>
      <c r="K58" s="31"/>
      <c r="L58" s="31"/>
      <c r="M58" s="31"/>
      <c r="N58" s="536"/>
    </row>
    <row r="59" spans="1:14">
      <c r="A59" s="559" t="s">
        <v>260</v>
      </c>
      <c r="B59" s="561">
        <f>+B58/B56</f>
        <v>-0.17039106145251395</v>
      </c>
      <c r="C59" s="555"/>
      <c r="D59" s="556"/>
      <c r="E59" s="556"/>
      <c r="F59" s="556"/>
      <c r="G59" s="551"/>
      <c r="H59" s="31"/>
      <c r="I59" s="31"/>
      <c r="J59" s="31"/>
      <c r="K59" s="31"/>
      <c r="L59" s="31"/>
      <c r="M59" s="31"/>
      <c r="N59" s="536"/>
    </row>
    <row r="60" spans="1:14">
      <c r="A60" s="562"/>
      <c r="B60" s="556"/>
      <c r="C60" s="638"/>
      <c r="D60" s="556"/>
      <c r="E60" s="556"/>
      <c r="F60" s="556"/>
      <c r="G60" s="551"/>
      <c r="H60" s="31"/>
      <c r="I60" s="31"/>
      <c r="J60" s="31"/>
      <c r="K60" s="31"/>
      <c r="L60" s="31"/>
      <c r="M60" s="31"/>
      <c r="N60" s="536"/>
    </row>
    <row r="61" spans="1:14">
      <c r="A61" s="879" t="s">
        <v>261</v>
      </c>
      <c r="B61" s="880"/>
      <c r="C61" s="880"/>
      <c r="D61" s="880"/>
      <c r="E61" s="880"/>
      <c r="F61" s="880"/>
      <c r="G61" s="551"/>
      <c r="H61" s="31"/>
      <c r="I61" s="31"/>
      <c r="J61" s="31"/>
      <c r="K61" s="31"/>
      <c r="L61" s="31"/>
      <c r="M61" s="31"/>
      <c r="N61" s="536"/>
    </row>
    <row r="62" spans="1:14">
      <c r="A62" s="881"/>
      <c r="B62" s="882"/>
      <c r="C62" s="882"/>
      <c r="D62" s="882"/>
      <c r="E62" s="882"/>
      <c r="F62" s="883"/>
      <c r="G62" s="551"/>
      <c r="H62" s="31"/>
      <c r="I62" s="31"/>
      <c r="J62" s="31"/>
      <c r="K62" s="31"/>
      <c r="L62" s="31"/>
      <c r="M62" s="31"/>
      <c r="N62" s="536"/>
    </row>
    <row r="63" spans="1:14">
      <c r="A63" s="563"/>
      <c r="B63" s="564"/>
      <c r="C63" s="564"/>
      <c r="D63" s="564"/>
      <c r="E63" s="564"/>
      <c r="F63" s="564"/>
      <c r="G63" s="551"/>
      <c r="H63" s="31"/>
      <c r="I63" s="31"/>
      <c r="J63" s="31"/>
      <c r="K63" s="31"/>
      <c r="L63" s="31"/>
      <c r="M63" s="31"/>
      <c r="N63" s="536"/>
    </row>
    <row r="64" spans="1:14">
      <c r="A64" s="565" t="s">
        <v>262</v>
      </c>
      <c r="B64" s="556"/>
      <c r="C64" s="638"/>
      <c r="D64" s="556"/>
      <c r="E64" s="556"/>
      <c r="F64" s="556"/>
      <c r="G64" s="551"/>
      <c r="H64" s="31"/>
      <c r="I64" s="31"/>
      <c r="J64" s="31"/>
      <c r="K64" s="31"/>
      <c r="L64" s="31"/>
      <c r="M64" s="31"/>
      <c r="N64" s="536"/>
    </row>
    <row r="65" spans="1:14">
      <c r="A65" s="884"/>
      <c r="B65" s="885"/>
      <c r="C65" s="885"/>
      <c r="D65" s="885"/>
      <c r="E65" s="885"/>
      <c r="F65" s="886"/>
      <c r="G65" s="551"/>
      <c r="H65" s="31"/>
      <c r="I65" s="31"/>
      <c r="J65" s="31"/>
      <c r="K65" s="31"/>
      <c r="L65" s="31"/>
      <c r="M65" s="31"/>
      <c r="N65" s="536"/>
    </row>
    <row r="66" spans="1:14">
      <c r="A66" s="562"/>
      <c r="B66" s="556"/>
      <c r="C66" s="638"/>
      <c r="D66" s="556"/>
      <c r="E66" s="556"/>
      <c r="F66" s="556"/>
      <c r="G66" s="551"/>
      <c r="H66" s="31"/>
      <c r="I66" s="31"/>
      <c r="J66" s="31"/>
      <c r="K66" s="31"/>
      <c r="L66" s="31"/>
      <c r="M66" s="31"/>
      <c r="N66" s="536"/>
    </row>
    <row r="67" spans="1:14">
      <c r="A67" s="879" t="s">
        <v>1020</v>
      </c>
      <c r="B67" s="880"/>
      <c r="C67" s="880"/>
      <c r="D67" s="880"/>
      <c r="E67" s="880"/>
      <c r="F67" s="880"/>
      <c r="G67" s="551"/>
      <c r="H67" s="31"/>
      <c r="I67" s="31"/>
      <c r="J67" s="31"/>
      <c r="K67" s="31"/>
      <c r="L67" s="31"/>
      <c r="M67" s="31"/>
      <c r="N67" s="536"/>
    </row>
    <row r="68" spans="1:14">
      <c r="A68" s="898" t="s">
        <v>1021</v>
      </c>
      <c r="B68" s="899"/>
      <c r="C68" s="899"/>
      <c r="D68" s="899"/>
      <c r="E68" s="899"/>
      <c r="F68" s="899"/>
      <c r="G68" s="551"/>
      <c r="H68" s="31"/>
      <c r="I68" s="31"/>
      <c r="J68" s="31"/>
      <c r="K68" s="31"/>
      <c r="L68" s="31"/>
      <c r="M68" s="31"/>
      <c r="N68" s="536"/>
    </row>
    <row r="69" spans="1:14">
      <c r="A69" s="884"/>
      <c r="B69" s="885"/>
      <c r="C69" s="885"/>
      <c r="D69" s="885"/>
      <c r="E69" s="885"/>
      <c r="F69" s="886"/>
      <c r="G69" s="551"/>
      <c r="H69" s="31"/>
      <c r="I69" s="31"/>
      <c r="J69" s="31"/>
      <c r="K69" s="31"/>
      <c r="L69" s="31"/>
      <c r="M69" s="31"/>
      <c r="N69" s="536"/>
    </row>
    <row r="70" spans="1:14">
      <c r="A70" s="565"/>
      <c r="B70" s="556"/>
      <c r="C70" s="638"/>
      <c r="D70" s="556"/>
      <c r="E70" s="556"/>
      <c r="F70" s="556"/>
      <c r="G70" s="551"/>
      <c r="H70" s="31"/>
      <c r="I70" s="31"/>
      <c r="J70" s="31"/>
      <c r="K70" s="31"/>
      <c r="L70" s="31"/>
      <c r="M70" s="31"/>
      <c r="N70" s="536"/>
    </row>
    <row r="71" spans="1:14">
      <c r="A71" s="879" t="s">
        <v>264</v>
      </c>
      <c r="B71" s="880"/>
      <c r="C71" s="880"/>
      <c r="D71" s="880"/>
      <c r="E71" s="880"/>
      <c r="F71" s="556"/>
      <c r="G71" s="551"/>
      <c r="H71" s="31"/>
      <c r="I71" s="31"/>
      <c r="J71" s="31"/>
      <c r="K71" s="31"/>
      <c r="L71" s="31"/>
      <c r="M71" s="31"/>
      <c r="N71" s="536"/>
    </row>
    <row r="72" spans="1:14">
      <c r="A72" s="889"/>
      <c r="B72" s="890"/>
      <c r="C72" s="890"/>
      <c r="D72" s="890"/>
      <c r="E72" s="890"/>
      <c r="F72" s="891"/>
      <c r="G72" s="551"/>
      <c r="H72" s="31"/>
      <c r="I72" s="31"/>
      <c r="J72" s="31"/>
      <c r="K72" s="31"/>
      <c r="L72" s="31"/>
      <c r="M72" s="31"/>
      <c r="N72" s="536"/>
    </row>
    <row r="73" spans="1:14">
      <c r="A73" s="562"/>
      <c r="B73" s="556"/>
      <c r="C73" s="638"/>
      <c r="D73" s="556"/>
      <c r="E73" s="556"/>
      <c r="F73" s="556"/>
      <c r="G73" s="551"/>
      <c r="H73" s="31"/>
      <c r="I73" s="31"/>
      <c r="J73" s="31"/>
      <c r="K73" s="31"/>
      <c r="L73" s="31"/>
      <c r="M73" s="31"/>
      <c r="N73" s="536"/>
    </row>
    <row r="74" spans="1:14">
      <c r="A74" s="565" t="s">
        <v>265</v>
      </c>
      <c r="B74" s="556"/>
      <c r="C74" s="638"/>
      <c r="D74" s="556"/>
      <c r="E74" s="556"/>
      <c r="F74" s="556"/>
      <c r="G74" s="551"/>
      <c r="H74" s="31"/>
      <c r="I74" s="31"/>
      <c r="J74" s="31"/>
      <c r="K74" s="31"/>
      <c r="L74" s="31"/>
      <c r="M74" s="31"/>
      <c r="N74" s="536"/>
    </row>
    <row r="75" spans="1:14">
      <c r="A75" s="566" t="s">
        <v>266</v>
      </c>
      <c r="B75" s="556"/>
      <c r="C75" s="638"/>
      <c r="D75" s="556"/>
      <c r="E75" s="556"/>
      <c r="F75" s="556"/>
      <c r="G75" s="551"/>
      <c r="H75" s="31"/>
      <c r="I75" s="31"/>
      <c r="J75" s="31"/>
      <c r="K75" s="31"/>
      <c r="L75" s="31"/>
      <c r="M75" s="31"/>
      <c r="N75" s="536"/>
    </row>
    <row r="76" spans="1:14" ht="27" customHeight="1">
      <c r="A76" s="892" t="s">
        <v>1030</v>
      </c>
      <c r="B76" s="893"/>
      <c r="C76" s="893"/>
      <c r="D76" s="893"/>
      <c r="E76" s="893"/>
      <c r="F76" s="893"/>
      <c r="G76" s="551"/>
      <c r="H76" s="31"/>
      <c r="I76" s="31"/>
      <c r="J76" s="31"/>
      <c r="K76" s="31"/>
      <c r="L76" s="31"/>
      <c r="M76" s="31"/>
      <c r="N76" s="536"/>
    </row>
    <row r="77" spans="1:14">
      <c r="A77" s="903"/>
      <c r="B77" s="904"/>
      <c r="C77" s="904"/>
      <c r="D77" s="904"/>
      <c r="E77" s="904"/>
      <c r="F77" s="905"/>
      <c r="G77" s="551"/>
      <c r="H77" s="31"/>
      <c r="I77" s="31"/>
      <c r="J77" s="31"/>
      <c r="K77" s="31"/>
      <c r="L77" s="31"/>
      <c r="M77" s="31"/>
      <c r="N77" s="536"/>
    </row>
    <row r="78" spans="1:14">
      <c r="A78" s="894"/>
      <c r="B78" s="895"/>
      <c r="C78" s="895"/>
      <c r="D78" s="895"/>
      <c r="E78" s="895"/>
      <c r="F78" s="895"/>
      <c r="G78" s="551"/>
      <c r="H78" s="31"/>
      <c r="I78" s="31"/>
      <c r="J78" s="31"/>
      <c r="K78" s="31"/>
      <c r="L78" s="31"/>
      <c r="M78" s="31"/>
      <c r="N78" s="536"/>
    </row>
    <row r="79" spans="1:14">
      <c r="A79" s="566" t="s">
        <v>268</v>
      </c>
      <c r="B79" s="556"/>
      <c r="C79" s="638"/>
      <c r="D79" s="556"/>
      <c r="E79" s="556"/>
      <c r="F79" s="556"/>
      <c r="G79" s="551"/>
      <c r="H79" s="31"/>
      <c r="I79" s="31"/>
      <c r="J79" s="31"/>
      <c r="K79" s="31"/>
      <c r="L79" s="31"/>
      <c r="M79" s="31"/>
      <c r="N79" s="536"/>
    </row>
    <row r="80" spans="1:14" ht="28.25" customHeight="1">
      <c r="A80" s="896" t="s">
        <v>269</v>
      </c>
      <c r="B80" s="897"/>
      <c r="C80" s="897"/>
      <c r="D80" s="897"/>
      <c r="E80" s="897"/>
      <c r="F80" s="897"/>
      <c r="G80" s="551"/>
      <c r="H80" s="31"/>
      <c r="I80" s="31"/>
      <c r="J80" s="31"/>
      <c r="K80" s="31"/>
      <c r="L80" s="31"/>
      <c r="M80" s="31"/>
      <c r="N80" s="536"/>
    </row>
    <row r="81" spans="1:14">
      <c r="A81" s="889"/>
      <c r="B81" s="890"/>
      <c r="C81" s="890"/>
      <c r="D81" s="890"/>
      <c r="E81" s="890"/>
      <c r="F81" s="891"/>
      <c r="G81" s="551"/>
      <c r="H81" s="31"/>
      <c r="I81" s="31"/>
      <c r="J81" s="31"/>
      <c r="K81" s="31"/>
      <c r="L81" s="31"/>
      <c r="M81" s="31"/>
      <c r="N81" s="536"/>
    </row>
    <row r="82" spans="1:14" ht="15" thickBot="1">
      <c r="A82" s="567"/>
      <c r="B82" s="568"/>
      <c r="C82" s="569"/>
      <c r="D82" s="568"/>
      <c r="E82" s="568"/>
      <c r="F82" s="568"/>
      <c r="G82" s="570"/>
      <c r="H82" s="31"/>
      <c r="I82" s="31"/>
      <c r="J82" s="31"/>
      <c r="K82" s="31"/>
      <c r="L82" s="31"/>
      <c r="M82" s="31"/>
      <c r="N82" s="536"/>
    </row>
    <row r="83" spans="1:14">
      <c r="A83" s="31"/>
      <c r="B83" s="31"/>
      <c r="C83" s="32"/>
      <c r="D83" s="31"/>
      <c r="E83" s="31"/>
      <c r="F83" s="31"/>
      <c r="G83" s="31"/>
      <c r="H83" s="31"/>
      <c r="I83" s="31"/>
      <c r="J83" s="31"/>
      <c r="K83" s="31"/>
      <c r="L83" s="31"/>
      <c r="M83" s="31"/>
      <c r="N83" s="536"/>
    </row>
    <row r="169" s="370" customFormat="1"/>
    <row r="170" s="370" customFormat="1"/>
    <row r="171" s="370" customFormat="1"/>
    <row r="172" s="370" customFormat="1"/>
    <row r="173" s="370" customFormat="1"/>
    <row r="174" s="370" customFormat="1"/>
    <row r="175" s="370" customFormat="1"/>
    <row r="176" s="370" customFormat="1"/>
    <row r="177" s="370" customFormat="1"/>
    <row r="178" s="370" customFormat="1"/>
    <row r="179" s="370" customFormat="1"/>
    <row r="180" s="370" customFormat="1"/>
    <row r="181" s="370" customFormat="1"/>
    <row r="182" s="370" customFormat="1"/>
    <row r="183" s="370" customFormat="1"/>
    <row r="184" s="370" customFormat="1"/>
    <row r="185" s="370" customFormat="1"/>
    <row r="186" s="370" customFormat="1"/>
    <row r="187" s="370" customFormat="1"/>
    <row r="188" s="370" customFormat="1"/>
    <row r="189" s="370" customFormat="1"/>
    <row r="190" s="370" customFormat="1"/>
    <row r="191" s="370" customFormat="1"/>
    <row r="192" s="370" customFormat="1"/>
    <row r="193" s="370" customFormat="1"/>
    <row r="194" s="370" customFormat="1"/>
    <row r="195" s="370" customFormat="1"/>
    <row r="196" s="370" customFormat="1"/>
    <row r="197" s="370" customFormat="1"/>
    <row r="198" s="370" customFormat="1"/>
    <row r="199" s="370" customFormat="1"/>
    <row r="200" s="370" customFormat="1"/>
    <row r="201" s="370" customFormat="1"/>
    <row r="202" s="370" customFormat="1"/>
    <row r="203" s="370" customFormat="1"/>
    <row r="204" s="370" customFormat="1"/>
    <row r="205" s="370" customFormat="1"/>
    <row r="206" s="370" customFormat="1"/>
    <row r="207" s="370" customFormat="1"/>
    <row r="208" s="370" customFormat="1"/>
    <row r="209" s="370" customFormat="1"/>
    <row r="210" s="370" customFormat="1"/>
    <row r="211" s="370" customFormat="1"/>
    <row r="212" s="370" customFormat="1"/>
    <row r="213" s="370" customFormat="1"/>
    <row r="214" s="370" customFormat="1"/>
    <row r="215" s="370" customFormat="1"/>
    <row r="216" s="370" customFormat="1"/>
    <row r="217" s="370" customFormat="1"/>
    <row r="218" s="370" customFormat="1"/>
    <row r="219" s="370" customFormat="1"/>
    <row r="220" s="370" customFormat="1"/>
    <row r="221" s="370" customFormat="1"/>
    <row r="222" s="370" customFormat="1"/>
    <row r="223" s="370" customFormat="1"/>
    <row r="224" s="370" customFormat="1"/>
    <row r="225" s="370" customFormat="1"/>
    <row r="226" s="370" customFormat="1"/>
    <row r="227" s="370" customFormat="1"/>
    <row r="228" s="370" customFormat="1"/>
    <row r="229" s="370" customFormat="1"/>
    <row r="230" s="370" customFormat="1"/>
    <row r="231" s="370" customFormat="1"/>
    <row r="232" s="370" customFormat="1"/>
    <row r="233" s="370" customFormat="1"/>
    <row r="234" s="370" customFormat="1"/>
    <row r="235" s="370" customFormat="1"/>
    <row r="236" s="370" customFormat="1"/>
    <row r="237" s="370" customFormat="1"/>
    <row r="238" s="370" customFormat="1"/>
    <row r="239" s="370" customFormat="1"/>
    <row r="240" s="370" customFormat="1"/>
    <row r="241" s="370" customFormat="1"/>
    <row r="242" s="370" customFormat="1"/>
    <row r="243" s="370" customFormat="1"/>
    <row r="244" s="370" customFormat="1"/>
    <row r="245" s="370" customFormat="1"/>
    <row r="246" s="370" customFormat="1"/>
    <row r="247" s="370" customFormat="1"/>
    <row r="248" s="370" customFormat="1"/>
    <row r="249" s="370" customFormat="1"/>
    <row r="250" s="370" customFormat="1"/>
    <row r="251" s="370" customFormat="1"/>
    <row r="252" s="370" customFormat="1"/>
    <row r="253" s="370" customFormat="1"/>
    <row r="254" s="370" customFormat="1"/>
    <row r="255" s="370" customFormat="1"/>
  </sheetData>
  <mergeCells count="17">
    <mergeCell ref="A80:F80"/>
    <mergeCell ref="A81:F81"/>
    <mergeCell ref="A68:F68"/>
    <mergeCell ref="A69:F69"/>
    <mergeCell ref="A71:E71"/>
    <mergeCell ref="A72:F72"/>
    <mergeCell ref="A76:F76"/>
    <mergeCell ref="A62:F62"/>
    <mergeCell ref="A65:F65"/>
    <mergeCell ref="A67:F67"/>
    <mergeCell ref="A77:F77"/>
    <mergeCell ref="A78:F78"/>
    <mergeCell ref="A1:N1"/>
    <mergeCell ref="A53:F53"/>
    <mergeCell ref="A54:F54"/>
    <mergeCell ref="A55:B55"/>
    <mergeCell ref="A61:F61"/>
  </mergeCells>
  <printOptions horizontalCentered="1"/>
  <pageMargins left="0.2" right="0.2" top="0.75" bottom="0.75" header="0.3" footer="0.3"/>
  <pageSetup scale="62" orientation="landscape" r:id="rId1"/>
  <headerFooter>
    <oddHeader xml:space="preserve">&amp;CDRAFT NOT FOR DISTRIBUTION, INTERNAL USE ONLY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pageSetUpPr fitToPage="1"/>
  </sheetPr>
  <dimension ref="A1:N99"/>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9" bestFit="1" customWidth="1"/>
    <col min="9" max="10" width="7.1796875" customWidth="1"/>
    <col min="11" max="11" width="7.7265625" customWidth="1"/>
    <col min="12" max="12" width="9.7265625" customWidth="1"/>
    <col min="13" max="13" width="9.1796875" customWidth="1"/>
    <col min="14" max="14" width="32.1796875" customWidth="1"/>
  </cols>
  <sheetData>
    <row r="1" spans="1:14" ht="15.5">
      <c r="A1" s="854" t="s">
        <v>165</v>
      </c>
      <c r="B1" s="854"/>
      <c r="C1" s="854"/>
      <c r="D1" s="854"/>
      <c r="E1" s="854"/>
      <c r="F1" s="854"/>
      <c r="G1" s="854"/>
      <c r="H1" s="854"/>
      <c r="I1" s="854"/>
      <c r="J1" s="854"/>
      <c r="K1" s="854"/>
      <c r="L1" s="854"/>
      <c r="M1" s="854"/>
      <c r="N1" s="854"/>
    </row>
    <row r="2" spans="1:14">
      <c r="A2" s="702" t="s">
        <v>873</v>
      </c>
      <c r="B2" s="370"/>
      <c r="C2" s="639"/>
      <c r="D2" s="370"/>
      <c r="E2" s="370"/>
      <c r="F2" s="370"/>
      <c r="G2" s="370"/>
      <c r="H2" s="370"/>
      <c r="I2" s="370"/>
      <c r="J2" s="370"/>
      <c r="K2" s="370"/>
      <c r="L2" s="370"/>
      <c r="M2" s="370"/>
      <c r="N2" s="370"/>
    </row>
    <row r="3" spans="1:14">
      <c r="A3" s="506" t="s">
        <v>816</v>
      </c>
      <c r="B3" s="370"/>
      <c r="C3" s="639"/>
      <c r="D3" s="370"/>
      <c r="E3" s="29"/>
      <c r="F3" s="451" t="s">
        <v>210</v>
      </c>
      <c r="G3" s="29"/>
      <c r="H3" s="370"/>
      <c r="I3" s="370"/>
      <c r="J3" s="370"/>
      <c r="K3" s="370"/>
      <c r="L3" s="370"/>
      <c r="M3" s="370"/>
      <c r="N3" s="370"/>
    </row>
    <row r="4" spans="1:14">
      <c r="A4" s="506" t="s">
        <v>562</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N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43">
        <f t="shared" si="1"/>
        <v>0</v>
      </c>
    </row>
    <row r="17" spans="1:14">
      <c r="A17" s="67" t="s">
        <v>220</v>
      </c>
      <c r="B17" s="68"/>
      <c r="C17" s="69"/>
      <c r="D17" s="68"/>
      <c r="E17" s="68"/>
      <c r="F17" s="70"/>
      <c r="G17" s="70"/>
      <c r="H17" s="70"/>
      <c r="I17" s="70"/>
      <c r="J17" s="70"/>
      <c r="K17" s="70"/>
      <c r="L17" s="70"/>
      <c r="M17" s="70"/>
      <c r="N17" s="70"/>
    </row>
    <row r="18" spans="1:14" ht="58">
      <c r="A18" s="422" t="s">
        <v>278</v>
      </c>
      <c r="B18" s="94" t="s">
        <v>575</v>
      </c>
      <c r="C18" s="96">
        <v>253</v>
      </c>
      <c r="D18" s="97"/>
      <c r="E18" s="423">
        <v>166</v>
      </c>
      <c r="F18" s="424">
        <f t="shared" ref="F18:F23" si="2">SUM(G18:M18)</f>
        <v>141</v>
      </c>
      <c r="G18" s="425">
        <v>0</v>
      </c>
      <c r="H18" s="425">
        <v>141</v>
      </c>
      <c r="I18" s="425"/>
      <c r="J18" s="425"/>
      <c r="K18" s="425"/>
      <c r="L18" s="425"/>
      <c r="M18" s="426"/>
      <c r="N18" s="318" t="s">
        <v>576</v>
      </c>
    </row>
    <row r="19" spans="1:14" ht="43.5" customHeight="1">
      <c r="A19" s="259" t="s">
        <v>278</v>
      </c>
      <c r="B19" s="259"/>
      <c r="C19" s="44">
        <v>253</v>
      </c>
      <c r="D19" s="45"/>
      <c r="E19" s="258">
        <v>0</v>
      </c>
      <c r="F19" s="350">
        <f t="shared" si="2"/>
        <v>0</v>
      </c>
      <c r="G19" s="304">
        <v>0</v>
      </c>
      <c r="H19" s="304"/>
      <c r="I19" s="304"/>
      <c r="J19" s="304"/>
      <c r="K19" s="304"/>
      <c r="L19" s="304"/>
      <c r="M19" s="305"/>
      <c r="N19" s="91"/>
    </row>
    <row r="20" spans="1:14">
      <c r="A20" s="259" t="s">
        <v>278</v>
      </c>
      <c r="B20" s="259"/>
      <c r="C20" s="44">
        <v>253</v>
      </c>
      <c r="D20" s="262"/>
      <c r="E20" s="258">
        <v>0</v>
      </c>
      <c r="F20" s="350">
        <f t="shared" si="2"/>
        <v>0</v>
      </c>
      <c r="G20" s="304"/>
      <c r="H20" s="304"/>
      <c r="I20" s="304"/>
      <c r="J20" s="304"/>
      <c r="K20" s="304"/>
      <c r="L20" s="304"/>
      <c r="M20" s="305"/>
      <c r="N20" s="320"/>
    </row>
    <row r="21" spans="1:14" s="149" customFormat="1">
      <c r="A21" s="259" t="s">
        <v>278</v>
      </c>
      <c r="B21" s="259"/>
      <c r="C21" s="44">
        <v>253</v>
      </c>
      <c r="D21" s="262"/>
      <c r="E21" s="258">
        <v>0</v>
      </c>
      <c r="F21" s="350">
        <f t="shared" si="2"/>
        <v>0</v>
      </c>
      <c r="G21" s="304"/>
      <c r="H21" s="304"/>
      <c r="I21" s="304"/>
      <c r="J21" s="304"/>
      <c r="K21" s="304"/>
      <c r="L21" s="304"/>
      <c r="M21" s="305"/>
      <c r="N21" s="320"/>
    </row>
    <row r="22" spans="1:14" s="7" customFormat="1">
      <c r="A22" s="259" t="s">
        <v>278</v>
      </c>
      <c r="B22" s="259"/>
      <c r="C22" s="44">
        <v>253</v>
      </c>
      <c r="D22" s="262"/>
      <c r="E22" s="258">
        <v>0</v>
      </c>
      <c r="F22" s="350">
        <f t="shared" si="2"/>
        <v>0</v>
      </c>
      <c r="G22" s="304"/>
      <c r="H22" s="304"/>
      <c r="I22" s="304"/>
      <c r="J22" s="304"/>
      <c r="K22" s="304"/>
      <c r="L22" s="304"/>
      <c r="M22" s="305"/>
      <c r="N22" s="318"/>
    </row>
    <row r="23" spans="1:14" s="280" customFormat="1">
      <c r="A23" s="259" t="s">
        <v>278</v>
      </c>
      <c r="B23" s="259"/>
      <c r="C23" s="44">
        <v>253</v>
      </c>
      <c r="D23" s="262"/>
      <c r="E23" s="258">
        <v>0</v>
      </c>
      <c r="F23" s="16">
        <f t="shared" si="2"/>
        <v>0</v>
      </c>
      <c r="G23" s="312"/>
      <c r="H23" s="312"/>
      <c r="I23" s="312"/>
      <c r="J23" s="312"/>
      <c r="K23" s="312"/>
      <c r="L23" s="312"/>
      <c r="M23" s="313"/>
      <c r="N23" s="320"/>
    </row>
    <row r="24" spans="1:14">
      <c r="A24" s="40" t="s">
        <v>225</v>
      </c>
      <c r="B24" s="260"/>
      <c r="C24" s="261"/>
      <c r="D24" s="262">
        <f>SUM(D18:D22)</f>
        <v>0</v>
      </c>
      <c r="E24" s="43">
        <f t="shared" ref="E24:M24" si="3">SUM(E18:E23)</f>
        <v>166</v>
      </c>
      <c r="F24" s="43">
        <f t="shared" si="3"/>
        <v>141</v>
      </c>
      <c r="G24" s="43">
        <f t="shared" si="3"/>
        <v>0</v>
      </c>
      <c r="H24" s="43">
        <f t="shared" si="3"/>
        <v>141</v>
      </c>
      <c r="I24" s="43">
        <f t="shared" si="3"/>
        <v>0</v>
      </c>
      <c r="J24" s="43">
        <f t="shared" si="3"/>
        <v>0</v>
      </c>
      <c r="K24" s="43">
        <f t="shared" si="3"/>
        <v>0</v>
      </c>
      <c r="L24" s="43">
        <f t="shared" si="3"/>
        <v>0</v>
      </c>
      <c r="M24" s="43">
        <f t="shared" si="3"/>
        <v>0</v>
      </c>
      <c r="N24" s="348"/>
    </row>
    <row r="25" spans="1:14" s="7" customFormat="1">
      <c r="A25" s="125" t="s">
        <v>226</v>
      </c>
      <c r="B25" s="126"/>
      <c r="C25" s="126"/>
      <c r="D25" s="126"/>
      <c r="E25" s="87"/>
      <c r="F25" s="87"/>
      <c r="G25" s="87"/>
      <c r="H25" s="87"/>
      <c r="I25" s="87"/>
      <c r="J25" s="87"/>
      <c r="K25" s="87"/>
      <c r="L25" s="87"/>
      <c r="M25" s="87"/>
      <c r="N25" s="128"/>
    </row>
    <row r="26" spans="1:14" ht="15" customHeight="1">
      <c r="A26" s="259" t="s">
        <v>227</v>
      </c>
      <c r="B26" s="36"/>
      <c r="C26" s="37" t="s">
        <v>228</v>
      </c>
      <c r="D26" s="38">
        <v>0</v>
      </c>
      <c r="E26" s="258">
        <v>0</v>
      </c>
      <c r="F26" s="303">
        <v>0</v>
      </c>
      <c r="G26" s="304">
        <v>0</v>
      </c>
      <c r="H26" s="304">
        <v>0</v>
      </c>
      <c r="I26" s="304">
        <v>0</v>
      </c>
      <c r="J26" s="304">
        <v>0</v>
      </c>
      <c r="K26" s="304">
        <v>0</v>
      </c>
      <c r="L26" s="304">
        <v>0</v>
      </c>
      <c r="M26" s="305">
        <v>0</v>
      </c>
      <c r="N26" s="318"/>
    </row>
    <row r="27" spans="1:14">
      <c r="A27" s="259" t="s">
        <v>229</v>
      </c>
      <c r="B27" s="36"/>
      <c r="C27" s="44" t="s">
        <v>230</v>
      </c>
      <c r="D27" s="45"/>
      <c r="E27" s="258">
        <v>0</v>
      </c>
      <c r="F27" s="303">
        <v>0</v>
      </c>
      <c r="G27" s="304">
        <v>0</v>
      </c>
      <c r="H27" s="304">
        <v>0</v>
      </c>
      <c r="I27" s="304">
        <v>0</v>
      </c>
      <c r="J27" s="304">
        <v>0</v>
      </c>
      <c r="K27" s="304">
        <v>0</v>
      </c>
      <c r="L27" s="304">
        <v>0</v>
      </c>
      <c r="M27" s="305">
        <v>0</v>
      </c>
      <c r="N27" s="348"/>
    </row>
    <row r="28" spans="1:14">
      <c r="A28" s="259" t="s">
        <v>231</v>
      </c>
      <c r="B28" s="36"/>
      <c r="C28" s="44" t="s">
        <v>232</v>
      </c>
      <c r="D28" s="45"/>
      <c r="E28" s="258">
        <v>0</v>
      </c>
      <c r="F28" s="303">
        <v>0</v>
      </c>
      <c r="G28" s="304">
        <v>0</v>
      </c>
      <c r="H28" s="304">
        <v>0</v>
      </c>
      <c r="I28" s="304">
        <v>0</v>
      </c>
      <c r="J28" s="304">
        <v>0</v>
      </c>
      <c r="K28" s="304">
        <v>0</v>
      </c>
      <c r="L28" s="304">
        <v>0</v>
      </c>
      <c r="M28" s="305">
        <v>0</v>
      </c>
      <c r="N28" s="348"/>
    </row>
    <row r="29" spans="1:14">
      <c r="A29" s="259" t="s">
        <v>233</v>
      </c>
      <c r="B29" s="36"/>
      <c r="C29" s="44" t="s">
        <v>234</v>
      </c>
      <c r="D29" s="45"/>
      <c r="E29" s="258">
        <v>0</v>
      </c>
      <c r="F29" s="303">
        <v>0</v>
      </c>
      <c r="G29" s="304">
        <v>0</v>
      </c>
      <c r="H29" s="304">
        <v>0</v>
      </c>
      <c r="I29" s="304">
        <v>0</v>
      </c>
      <c r="J29" s="304">
        <v>0</v>
      </c>
      <c r="K29" s="304">
        <v>0</v>
      </c>
      <c r="L29" s="304">
        <v>0</v>
      </c>
      <c r="M29" s="305">
        <v>0</v>
      </c>
      <c r="N29" s="348"/>
    </row>
    <row r="30" spans="1:14">
      <c r="A30" s="259" t="s">
        <v>235</v>
      </c>
      <c r="B30" s="36"/>
      <c r="C30" s="44">
        <v>251</v>
      </c>
      <c r="D30" s="45"/>
      <c r="E30" s="258">
        <v>0</v>
      </c>
      <c r="F30" s="303">
        <v>0</v>
      </c>
      <c r="G30" s="304">
        <v>0</v>
      </c>
      <c r="H30" s="304">
        <v>0</v>
      </c>
      <c r="I30" s="304">
        <v>0</v>
      </c>
      <c r="J30" s="304">
        <v>0</v>
      </c>
      <c r="K30" s="304">
        <v>0</v>
      </c>
      <c r="L30" s="304">
        <v>0</v>
      </c>
      <c r="M30" s="305">
        <v>0</v>
      </c>
      <c r="N30" s="348"/>
    </row>
    <row r="31" spans="1:14">
      <c r="A31" s="259" t="s">
        <v>242</v>
      </c>
      <c r="B31" s="36"/>
      <c r="C31" s="44">
        <v>252</v>
      </c>
      <c r="D31" s="45"/>
      <c r="E31" s="258">
        <v>0</v>
      </c>
      <c r="F31" s="303">
        <v>0</v>
      </c>
      <c r="G31" s="304">
        <v>0</v>
      </c>
      <c r="H31" s="304">
        <v>0</v>
      </c>
      <c r="I31" s="304">
        <v>0</v>
      </c>
      <c r="J31" s="304">
        <v>0</v>
      </c>
      <c r="K31" s="304">
        <v>0</v>
      </c>
      <c r="L31" s="304">
        <v>0</v>
      </c>
      <c r="M31" s="305">
        <v>0</v>
      </c>
      <c r="N31" s="348"/>
    </row>
    <row r="32" spans="1:14">
      <c r="A32" s="259" t="s">
        <v>243</v>
      </c>
      <c r="B32" s="36"/>
      <c r="C32" s="44">
        <v>252</v>
      </c>
      <c r="D32" s="45"/>
      <c r="E32" s="258">
        <v>0</v>
      </c>
      <c r="F32" s="303">
        <v>0</v>
      </c>
      <c r="G32" s="304">
        <v>0</v>
      </c>
      <c r="H32" s="304">
        <v>0</v>
      </c>
      <c r="I32" s="304">
        <v>0</v>
      </c>
      <c r="J32" s="304">
        <v>0</v>
      </c>
      <c r="K32" s="304">
        <v>0</v>
      </c>
      <c r="L32" s="304">
        <v>0</v>
      </c>
      <c r="M32" s="305">
        <v>0</v>
      </c>
      <c r="N32" s="348"/>
    </row>
    <row r="33" spans="1:14">
      <c r="A33" s="259" t="s">
        <v>244</v>
      </c>
      <c r="B33" s="36"/>
      <c r="C33" s="44">
        <v>253</v>
      </c>
      <c r="D33" s="259"/>
      <c r="E33" s="258">
        <v>0</v>
      </c>
      <c r="F33" s="303">
        <v>0</v>
      </c>
      <c r="G33" s="304">
        <v>0</v>
      </c>
      <c r="H33" s="304">
        <v>0</v>
      </c>
      <c r="I33" s="304">
        <v>0</v>
      </c>
      <c r="J33" s="304">
        <v>0</v>
      </c>
      <c r="K33" s="304">
        <v>0</v>
      </c>
      <c r="L33" s="304">
        <v>0</v>
      </c>
      <c r="M33" s="305">
        <v>0</v>
      </c>
      <c r="N33" s="348"/>
    </row>
    <row r="34" spans="1:14">
      <c r="A34" s="259" t="s">
        <v>245</v>
      </c>
      <c r="B34" s="36"/>
      <c r="C34" s="44">
        <v>255</v>
      </c>
      <c r="D34" s="259"/>
      <c r="E34" s="258">
        <v>0</v>
      </c>
      <c r="F34" s="303">
        <v>0</v>
      </c>
      <c r="G34" s="304">
        <v>0</v>
      </c>
      <c r="H34" s="304">
        <v>0</v>
      </c>
      <c r="I34" s="304">
        <v>0</v>
      </c>
      <c r="J34" s="304">
        <v>0</v>
      </c>
      <c r="K34" s="304">
        <v>0</v>
      </c>
      <c r="L34" s="304">
        <v>0</v>
      </c>
      <c r="M34" s="305">
        <v>0</v>
      </c>
      <c r="N34" s="348"/>
    </row>
    <row r="35" spans="1:14">
      <c r="A35" s="259" t="s">
        <v>246</v>
      </c>
      <c r="B35" s="36"/>
      <c r="C35" s="44">
        <v>256</v>
      </c>
      <c r="D35" s="259"/>
      <c r="E35" s="258">
        <v>0</v>
      </c>
      <c r="F35" s="303">
        <v>0</v>
      </c>
      <c r="G35" s="304">
        <v>0</v>
      </c>
      <c r="H35" s="304">
        <v>0</v>
      </c>
      <c r="I35" s="304">
        <v>0</v>
      </c>
      <c r="J35" s="304">
        <v>0</v>
      </c>
      <c r="K35" s="304">
        <v>0</v>
      </c>
      <c r="L35" s="304">
        <v>0</v>
      </c>
      <c r="M35" s="305">
        <v>0</v>
      </c>
      <c r="N35" s="348"/>
    </row>
    <row r="36" spans="1:14">
      <c r="A36" s="259" t="s">
        <v>247</v>
      </c>
      <c r="B36" s="36"/>
      <c r="C36" s="44">
        <v>257</v>
      </c>
      <c r="D36" s="259"/>
      <c r="E36" s="258">
        <v>0</v>
      </c>
      <c r="F36" s="303">
        <v>0</v>
      </c>
      <c r="G36" s="304">
        <v>0</v>
      </c>
      <c r="H36" s="304">
        <v>0</v>
      </c>
      <c r="I36" s="304">
        <v>0</v>
      </c>
      <c r="J36" s="304">
        <v>0</v>
      </c>
      <c r="K36" s="304">
        <v>0</v>
      </c>
      <c r="L36" s="304">
        <v>0</v>
      </c>
      <c r="M36" s="305">
        <v>0</v>
      </c>
      <c r="N36" s="348"/>
    </row>
    <row r="37" spans="1:14">
      <c r="A37" s="259" t="s">
        <v>248</v>
      </c>
      <c r="B37" s="36"/>
      <c r="C37" s="44" t="s">
        <v>249</v>
      </c>
      <c r="D37" s="259"/>
      <c r="E37" s="258">
        <v>0</v>
      </c>
      <c r="F37" s="303">
        <v>0</v>
      </c>
      <c r="G37" s="304">
        <v>0</v>
      </c>
      <c r="H37" s="304">
        <v>0</v>
      </c>
      <c r="I37" s="304">
        <v>0</v>
      </c>
      <c r="J37" s="304">
        <v>0</v>
      </c>
      <c r="K37" s="304">
        <v>0</v>
      </c>
      <c r="L37" s="304">
        <v>0</v>
      </c>
      <c r="M37" s="305">
        <v>0</v>
      </c>
      <c r="N37" s="348"/>
    </row>
    <row r="38" spans="1:14" s="370" customFormat="1">
      <c r="A38" s="260" t="s">
        <v>250</v>
      </c>
      <c r="B38" s="36"/>
      <c r="C38" s="261" t="s">
        <v>251</v>
      </c>
      <c r="D38" s="260"/>
      <c r="E38" s="258">
        <v>0</v>
      </c>
      <c r="F38" s="303">
        <v>0</v>
      </c>
      <c r="G38" s="304">
        <v>0</v>
      </c>
      <c r="H38" s="304">
        <v>0</v>
      </c>
      <c r="I38" s="304">
        <v>0</v>
      </c>
      <c r="J38" s="304">
        <v>0</v>
      </c>
      <c r="K38" s="304">
        <v>0</v>
      </c>
      <c r="L38" s="304">
        <v>0</v>
      </c>
      <c r="M38" s="305">
        <v>0</v>
      </c>
      <c r="N38" s="348"/>
    </row>
    <row r="39" spans="1:14">
      <c r="A39" s="260" t="s">
        <v>252</v>
      </c>
      <c r="B39" s="378"/>
      <c r="C39" s="261" t="s">
        <v>253</v>
      </c>
      <c r="D39" s="260"/>
      <c r="E39" s="311">
        <v>0</v>
      </c>
      <c r="F39" s="303">
        <f>SUM(G39:M39)</f>
        <v>0</v>
      </c>
      <c r="G39" s="163">
        <v>0</v>
      </c>
      <c r="H39" s="163">
        <v>0</v>
      </c>
      <c r="I39" s="163">
        <v>0</v>
      </c>
      <c r="J39" s="163">
        <v>0</v>
      </c>
      <c r="K39" s="163">
        <v>0</v>
      </c>
      <c r="L39" s="163">
        <v>0</v>
      </c>
      <c r="M39" s="164">
        <v>0</v>
      </c>
      <c r="N39" s="318"/>
    </row>
    <row r="40" spans="1:14">
      <c r="A40" s="40" t="s">
        <v>254</v>
      </c>
      <c r="B40" s="260"/>
      <c r="C40" s="261"/>
      <c r="D40" s="262"/>
      <c r="E40" s="42">
        <f t="shared" ref="E40:M40" si="4">SUM(E26:E39)</f>
        <v>0</v>
      </c>
      <c r="F40" s="43">
        <f t="shared" si="4"/>
        <v>0</v>
      </c>
      <c r="G40" s="43">
        <f t="shared" si="4"/>
        <v>0</v>
      </c>
      <c r="H40" s="43">
        <f t="shared" si="4"/>
        <v>0</v>
      </c>
      <c r="I40" s="43">
        <f t="shared" si="4"/>
        <v>0</v>
      </c>
      <c r="J40" s="43">
        <f t="shared" si="4"/>
        <v>0</v>
      </c>
      <c r="K40" s="43">
        <f t="shared" si="4"/>
        <v>0</v>
      </c>
      <c r="L40" s="43">
        <f t="shared" si="4"/>
        <v>0</v>
      </c>
      <c r="M40" s="43">
        <f t="shared" si="4"/>
        <v>0</v>
      </c>
      <c r="N40" s="348"/>
    </row>
    <row r="41" spans="1:14">
      <c r="A41" s="40" t="s">
        <v>255</v>
      </c>
      <c r="B41" s="51"/>
      <c r="C41" s="147"/>
      <c r="D41" s="262"/>
      <c r="E41" s="236"/>
      <c r="F41" s="235">
        <f>SUM(G41:L41)</f>
        <v>0</v>
      </c>
      <c r="G41" s="235"/>
      <c r="H41" s="235"/>
      <c r="I41" s="235"/>
      <c r="J41" s="235"/>
      <c r="K41" s="235"/>
      <c r="L41" s="235"/>
      <c r="M41" s="235"/>
      <c r="N41" s="318"/>
    </row>
    <row r="42" spans="1:14">
      <c r="A42" s="40" t="s">
        <v>256</v>
      </c>
      <c r="B42" s="46"/>
      <c r="C42" s="47"/>
      <c r="D42" s="48">
        <f>D40+D24+D16</f>
        <v>0</v>
      </c>
      <c r="E42" s="42">
        <f>E40+E24+E16-E41</f>
        <v>166</v>
      </c>
      <c r="F42" s="17">
        <f t="shared" ref="F42:M42" si="5">F40+F24+F16-F41</f>
        <v>141</v>
      </c>
      <c r="G42" s="17">
        <f t="shared" si="5"/>
        <v>0</v>
      </c>
      <c r="H42" s="17">
        <f t="shared" si="5"/>
        <v>141</v>
      </c>
      <c r="I42" s="17">
        <f t="shared" si="5"/>
        <v>0</v>
      </c>
      <c r="J42" s="17">
        <f t="shared" si="5"/>
        <v>0</v>
      </c>
      <c r="K42" s="17">
        <f t="shared" si="5"/>
        <v>0</v>
      </c>
      <c r="L42" s="17">
        <f t="shared" si="5"/>
        <v>0</v>
      </c>
      <c r="M42" s="17">
        <f t="shared" si="5"/>
        <v>0</v>
      </c>
      <c r="N42" s="346"/>
    </row>
    <row r="43" spans="1:14">
      <c r="A43" s="148" t="s">
        <v>299</v>
      </c>
      <c r="B43" s="370" t="s">
        <v>478</v>
      </c>
      <c r="C43" s="53"/>
      <c r="D43" s="54"/>
      <c r="E43" s="55">
        <f>+E42-C46</f>
        <v>66</v>
      </c>
      <c r="F43" s="55">
        <f>F42-B46</f>
        <v>56.900000000000006</v>
      </c>
      <c r="G43" s="391" t="s">
        <v>874</v>
      </c>
      <c r="H43" s="370"/>
      <c r="I43" s="370"/>
      <c r="J43" s="370"/>
      <c r="K43" s="370"/>
      <c r="L43" s="370"/>
      <c r="M43" s="370"/>
      <c r="N43" s="370"/>
    </row>
    <row r="44" spans="1:14" s="370" customFormat="1">
      <c r="A44" s="315"/>
      <c r="C44" s="29"/>
      <c r="D44" s="216"/>
      <c r="E44" s="215"/>
      <c r="F44" s="215"/>
    </row>
    <row r="45" spans="1:14">
      <c r="A45" s="56" t="s">
        <v>300</v>
      </c>
      <c r="B45" s="283">
        <v>2024</v>
      </c>
      <c r="C45" s="283">
        <v>2023</v>
      </c>
      <c r="D45" s="370"/>
      <c r="E45" s="370"/>
      <c r="F45" s="370"/>
      <c r="G45" s="370"/>
      <c r="H45" s="370"/>
      <c r="I45" s="370"/>
      <c r="J45" s="370"/>
      <c r="K45" s="370"/>
      <c r="L45" s="370"/>
      <c r="M45" s="370"/>
      <c r="N45" s="370"/>
    </row>
    <row r="46" spans="1:14">
      <c r="A46" s="57" t="s">
        <v>301</v>
      </c>
      <c r="B46" s="58">
        <f>(+F42*0.6)-0.5</f>
        <v>84.1</v>
      </c>
      <c r="C46" s="58">
        <v>100</v>
      </c>
      <c r="D46" s="370" t="s">
        <v>1524</v>
      </c>
      <c r="E46" s="370"/>
      <c r="F46" s="370"/>
      <c r="G46" s="370"/>
      <c r="H46" s="370"/>
      <c r="I46" s="370"/>
      <c r="J46" s="370"/>
      <c r="K46" s="370"/>
      <c r="L46" s="370"/>
      <c r="M46" s="370"/>
      <c r="N46" s="370"/>
    </row>
    <row r="47" spans="1:14">
      <c r="A47" s="259" t="s">
        <v>302</v>
      </c>
      <c r="B47" s="59">
        <f>M42</f>
        <v>0</v>
      </c>
      <c r="C47" s="59">
        <v>0</v>
      </c>
      <c r="D47" s="370"/>
      <c r="E47" s="370"/>
      <c r="F47" s="370"/>
      <c r="G47" s="370"/>
      <c r="H47" s="370"/>
      <c r="I47" s="370"/>
      <c r="J47" s="370"/>
      <c r="K47" s="370"/>
      <c r="L47" s="370"/>
      <c r="M47" s="370"/>
      <c r="N47" s="370"/>
    </row>
    <row r="48" spans="1:14">
      <c r="A48" s="511" t="s">
        <v>577</v>
      </c>
      <c r="B48" s="61">
        <f>B46-B47</f>
        <v>84.1</v>
      </c>
      <c r="C48" s="405">
        <f>+C46-C47</f>
        <v>100</v>
      </c>
      <c r="D48" s="370"/>
      <c r="E48" s="370"/>
      <c r="F48" s="370"/>
      <c r="G48" s="370"/>
      <c r="H48" s="370"/>
      <c r="I48" s="370"/>
      <c r="J48" s="370"/>
      <c r="K48" s="370"/>
      <c r="L48" s="370"/>
      <c r="M48" s="370"/>
      <c r="N48" s="370"/>
    </row>
    <row r="51" spans="1:14" s="370" customFormat="1" ht="15.65" customHeight="1" thickBot="1">
      <c r="A51" s="666"/>
      <c r="B51" s="667"/>
      <c r="C51" s="645"/>
      <c r="M51" s="31"/>
      <c r="N51" s="536"/>
    </row>
    <row r="52" spans="1:14" s="370" customFormat="1" ht="15.5">
      <c r="A52" s="873" t="s">
        <v>257</v>
      </c>
      <c r="B52" s="874"/>
      <c r="C52" s="874"/>
      <c r="D52" s="874"/>
      <c r="E52" s="874"/>
      <c r="F52" s="874"/>
      <c r="G52" s="550"/>
      <c r="H52" s="31"/>
      <c r="I52" s="31"/>
      <c r="J52" s="31"/>
      <c r="K52" s="31"/>
      <c r="L52" s="31"/>
      <c r="M52" s="31"/>
      <c r="N52" s="536"/>
    </row>
    <row r="53" spans="1:14" s="370" customFormat="1" ht="15.5">
      <c r="A53" s="875"/>
      <c r="B53" s="876"/>
      <c r="C53" s="876"/>
      <c r="D53" s="876"/>
      <c r="E53" s="876"/>
      <c r="F53" s="876"/>
      <c r="G53" s="551"/>
      <c r="H53" s="31"/>
      <c r="I53" s="31"/>
      <c r="J53" s="31"/>
      <c r="K53" s="31"/>
      <c r="L53" s="31"/>
      <c r="M53" s="31"/>
      <c r="N53" s="536"/>
    </row>
    <row r="54" spans="1:14" s="370" customFormat="1">
      <c r="A54" s="877" t="s">
        <v>258</v>
      </c>
      <c r="B54" s="878"/>
      <c r="C54" s="552"/>
      <c r="D54" s="552"/>
      <c r="E54" s="552"/>
      <c r="F54" s="552"/>
      <c r="G54" s="551"/>
      <c r="H54" s="31"/>
      <c r="I54" s="31"/>
      <c r="J54" s="31"/>
      <c r="K54" s="31"/>
      <c r="L54" s="31"/>
      <c r="M54" s="31"/>
      <c r="N54" s="536"/>
    </row>
    <row r="55" spans="1:14" s="370" customFormat="1">
      <c r="A55" s="553" t="s">
        <v>1028</v>
      </c>
      <c r="B55" s="554">
        <f>E42</f>
        <v>166</v>
      </c>
      <c r="C55" s="555"/>
      <c r="D55" s="556"/>
      <c r="E55" s="556"/>
      <c r="F55" s="556"/>
      <c r="G55" s="551"/>
      <c r="H55" s="31"/>
      <c r="I55" s="31"/>
      <c r="J55" s="31"/>
      <c r="K55" s="31"/>
      <c r="L55" s="31"/>
      <c r="M55" s="31"/>
      <c r="N55" s="536"/>
    </row>
    <row r="56" spans="1:14" s="370" customFormat="1">
      <c r="A56" s="557" t="s">
        <v>1029</v>
      </c>
      <c r="B56" s="558">
        <f>F42</f>
        <v>141</v>
      </c>
      <c r="C56" s="555"/>
      <c r="D56" s="556"/>
      <c r="E56" s="556"/>
      <c r="F56" s="556"/>
      <c r="G56" s="551"/>
      <c r="H56" s="31"/>
      <c r="I56" s="31"/>
      <c r="J56" s="31"/>
      <c r="K56" s="31"/>
      <c r="L56" s="31"/>
      <c r="M56" s="31"/>
      <c r="N56" s="536"/>
    </row>
    <row r="57" spans="1:14" s="370" customFormat="1">
      <c r="A57" s="559" t="s">
        <v>259</v>
      </c>
      <c r="B57" s="560">
        <f>B56-B55</f>
        <v>-25</v>
      </c>
      <c r="C57" s="555"/>
      <c r="D57" s="556"/>
      <c r="E57" s="556"/>
      <c r="F57" s="556"/>
      <c r="G57" s="551"/>
      <c r="H57" s="31"/>
      <c r="I57" s="31"/>
      <c r="J57" s="31"/>
      <c r="K57" s="31"/>
      <c r="L57" s="31"/>
      <c r="M57" s="31"/>
      <c r="N57" s="536"/>
    </row>
    <row r="58" spans="1:14" s="370" customFormat="1">
      <c r="A58" s="559" t="s">
        <v>260</v>
      </c>
      <c r="B58" s="561">
        <f>B57/B55</f>
        <v>-0.15060240963855423</v>
      </c>
      <c r="C58" s="555"/>
      <c r="D58" s="556"/>
      <c r="E58" s="556"/>
      <c r="F58" s="556"/>
      <c r="G58" s="551"/>
      <c r="H58" s="31"/>
      <c r="I58" s="31"/>
      <c r="J58" s="31"/>
      <c r="K58" s="31"/>
      <c r="L58" s="31"/>
      <c r="M58" s="31"/>
      <c r="N58" s="536"/>
    </row>
    <row r="59" spans="1:14" s="370" customFormat="1">
      <c r="A59" s="562"/>
      <c r="B59" s="556"/>
      <c r="C59" s="660"/>
      <c r="D59" s="556"/>
      <c r="E59" s="556"/>
      <c r="F59" s="556"/>
      <c r="G59" s="551"/>
      <c r="H59" s="31"/>
      <c r="I59" s="31"/>
      <c r="J59" s="31"/>
      <c r="K59" s="31"/>
      <c r="L59" s="31"/>
      <c r="M59" s="31"/>
      <c r="N59" s="536"/>
    </row>
    <row r="60" spans="1:14" s="370" customFormat="1">
      <c r="A60" s="879" t="s">
        <v>261</v>
      </c>
      <c r="B60" s="880"/>
      <c r="C60" s="880"/>
      <c r="D60" s="880"/>
      <c r="E60" s="880"/>
      <c r="F60" s="880"/>
      <c r="G60" s="551"/>
      <c r="H60" s="31"/>
      <c r="I60" s="31"/>
      <c r="J60" s="31"/>
      <c r="K60" s="31"/>
      <c r="L60" s="31"/>
      <c r="M60" s="31"/>
      <c r="N60" s="536"/>
    </row>
    <row r="61" spans="1:14" s="370" customFormat="1" ht="119.5" customHeight="1">
      <c r="A61" s="881" t="s">
        <v>578</v>
      </c>
      <c r="B61" s="882"/>
      <c r="C61" s="882"/>
      <c r="D61" s="882"/>
      <c r="E61" s="882"/>
      <c r="F61" s="883"/>
      <c r="G61" s="551"/>
      <c r="H61" s="31"/>
      <c r="I61" s="31"/>
      <c r="J61" s="31"/>
      <c r="K61" s="31"/>
      <c r="L61" s="31"/>
      <c r="M61" s="31"/>
      <c r="N61" s="536"/>
    </row>
    <row r="62" spans="1:14" s="370" customFormat="1">
      <c r="A62" s="563"/>
      <c r="B62" s="564"/>
      <c r="C62" s="564"/>
      <c r="D62" s="564"/>
      <c r="E62" s="564"/>
      <c r="F62" s="564"/>
      <c r="G62" s="551"/>
      <c r="H62" s="31"/>
      <c r="I62" s="31"/>
      <c r="J62" s="31"/>
      <c r="K62" s="31"/>
      <c r="L62" s="31"/>
      <c r="M62" s="31"/>
      <c r="N62" s="536"/>
    </row>
    <row r="63" spans="1:14" s="370" customFormat="1">
      <c r="A63" s="565" t="s">
        <v>262</v>
      </c>
      <c r="B63" s="556"/>
      <c r="C63" s="722"/>
      <c r="D63" s="556"/>
      <c r="E63" s="556"/>
      <c r="F63" s="556"/>
      <c r="G63" s="551"/>
      <c r="H63" s="31"/>
      <c r="I63" s="31"/>
      <c r="J63" s="31"/>
      <c r="K63" s="31"/>
      <c r="L63" s="31"/>
      <c r="M63" s="31"/>
      <c r="N63" s="536"/>
    </row>
    <row r="64" spans="1:14" s="370" customFormat="1" ht="118.65" customHeight="1">
      <c r="A64" s="881" t="s">
        <v>579</v>
      </c>
      <c r="B64" s="882"/>
      <c r="C64" s="882"/>
      <c r="D64" s="882"/>
      <c r="E64" s="882"/>
      <c r="F64" s="883"/>
      <c r="G64" s="551"/>
      <c r="H64" s="31"/>
      <c r="I64" s="31"/>
      <c r="J64" s="31"/>
      <c r="K64" s="31"/>
      <c r="L64" s="31"/>
      <c r="M64" s="31"/>
      <c r="N64" s="536"/>
    </row>
    <row r="65" spans="1:14" s="370" customFormat="1">
      <c r="A65" s="562"/>
      <c r="B65" s="556"/>
      <c r="C65" s="722"/>
      <c r="D65" s="556"/>
      <c r="E65" s="556"/>
      <c r="F65" s="556"/>
      <c r="G65" s="551"/>
      <c r="H65" s="31"/>
      <c r="I65" s="31"/>
      <c r="J65" s="31"/>
      <c r="K65" s="31"/>
      <c r="L65" s="31"/>
      <c r="M65" s="31"/>
      <c r="N65" s="536"/>
    </row>
    <row r="66" spans="1:14" s="370" customFormat="1">
      <c r="A66" s="879" t="s">
        <v>1020</v>
      </c>
      <c r="B66" s="880"/>
      <c r="C66" s="880"/>
      <c r="D66" s="880"/>
      <c r="E66" s="880"/>
      <c r="F66" s="880"/>
      <c r="G66" s="551"/>
      <c r="H66" s="31"/>
      <c r="I66" s="31"/>
      <c r="J66" s="31"/>
      <c r="K66" s="31"/>
      <c r="L66" s="31"/>
      <c r="M66" s="31"/>
      <c r="N66" s="536"/>
    </row>
    <row r="67" spans="1:14" s="370" customFormat="1">
      <c r="A67" s="898" t="s">
        <v>1021</v>
      </c>
      <c r="B67" s="899"/>
      <c r="C67" s="899"/>
      <c r="D67" s="899"/>
      <c r="E67" s="899"/>
      <c r="F67" s="899"/>
      <c r="G67" s="551"/>
      <c r="H67" s="31"/>
      <c r="I67" s="31"/>
      <c r="J67" s="31"/>
      <c r="K67" s="31"/>
      <c r="L67" s="31"/>
      <c r="M67" s="31"/>
      <c r="N67" s="536"/>
    </row>
    <row r="68" spans="1:14" s="370" customFormat="1" ht="58.5" customHeight="1">
      <c r="A68" s="881" t="s">
        <v>761</v>
      </c>
      <c r="B68" s="882"/>
      <c r="C68" s="882"/>
      <c r="D68" s="882"/>
      <c r="E68" s="882"/>
      <c r="F68" s="883"/>
      <c r="G68" s="551"/>
      <c r="H68" s="31"/>
      <c r="I68" s="31"/>
      <c r="J68" s="31"/>
      <c r="K68" s="31"/>
      <c r="L68" s="31"/>
      <c r="M68" s="31"/>
      <c r="N68" s="536"/>
    </row>
    <row r="69" spans="1:14" s="370" customFormat="1">
      <c r="A69" s="565"/>
      <c r="B69" s="556"/>
      <c r="C69" s="722"/>
      <c r="D69" s="556"/>
      <c r="E69" s="556"/>
      <c r="F69" s="556"/>
      <c r="G69" s="551"/>
      <c r="H69" s="31"/>
      <c r="I69" s="31"/>
      <c r="J69" s="31"/>
      <c r="K69" s="31"/>
      <c r="L69" s="31"/>
      <c r="M69" s="31"/>
      <c r="N69" s="536"/>
    </row>
    <row r="70" spans="1:14" s="370" customFormat="1">
      <c r="A70" s="879" t="s">
        <v>264</v>
      </c>
      <c r="B70" s="880"/>
      <c r="C70" s="880"/>
      <c r="D70" s="880"/>
      <c r="E70" s="880"/>
      <c r="F70" s="556"/>
      <c r="G70" s="551"/>
      <c r="H70" s="31"/>
      <c r="I70" s="31"/>
      <c r="J70" s="31"/>
      <c r="K70" s="31"/>
      <c r="L70" s="31"/>
      <c r="M70" s="31"/>
      <c r="N70" s="536"/>
    </row>
    <row r="71" spans="1:14" s="370" customFormat="1" ht="30.15" customHeight="1">
      <c r="A71" s="900" t="s">
        <v>580</v>
      </c>
      <c r="B71" s="901"/>
      <c r="C71" s="901"/>
      <c r="D71" s="901"/>
      <c r="E71" s="901"/>
      <c r="F71" s="902"/>
      <c r="G71" s="551"/>
      <c r="H71" s="31"/>
      <c r="I71" s="31"/>
      <c r="J71" s="31"/>
      <c r="K71" s="31"/>
      <c r="L71" s="31"/>
      <c r="M71" s="31"/>
      <c r="N71" s="536"/>
    </row>
    <row r="72" spans="1:14" s="370" customFormat="1">
      <c r="A72" s="562"/>
      <c r="B72" s="556"/>
      <c r="C72" s="722"/>
      <c r="D72" s="556"/>
      <c r="E72" s="556"/>
      <c r="F72" s="556"/>
      <c r="G72" s="551"/>
      <c r="H72" s="31"/>
      <c r="I72" s="31"/>
      <c r="J72" s="31"/>
      <c r="K72" s="31"/>
      <c r="L72" s="31"/>
      <c r="M72" s="31"/>
      <c r="N72" s="536"/>
    </row>
    <row r="73" spans="1:14" s="370" customFormat="1">
      <c r="A73" s="565" t="s">
        <v>265</v>
      </c>
      <c r="B73" s="556"/>
      <c r="C73" s="722"/>
      <c r="D73" s="556"/>
      <c r="E73" s="556"/>
      <c r="F73" s="556"/>
      <c r="G73" s="551"/>
      <c r="H73" s="31"/>
      <c r="I73" s="31"/>
      <c r="J73" s="31"/>
      <c r="K73" s="31"/>
      <c r="L73" s="31"/>
      <c r="M73" s="31"/>
      <c r="N73" s="536"/>
    </row>
    <row r="74" spans="1:14" s="370" customFormat="1">
      <c r="A74" s="566" t="s">
        <v>266</v>
      </c>
      <c r="B74" s="556"/>
      <c r="C74" s="722"/>
      <c r="D74" s="556"/>
      <c r="E74" s="556"/>
      <c r="F74" s="556"/>
      <c r="G74" s="551"/>
      <c r="H74" s="31"/>
      <c r="I74" s="31"/>
      <c r="J74" s="31"/>
      <c r="K74" s="31"/>
      <c r="L74" s="31"/>
      <c r="M74" s="31"/>
      <c r="N74" s="536"/>
    </row>
    <row r="75" spans="1:14" s="370" customFormat="1" ht="26.25" customHeight="1">
      <c r="A75" s="892" t="s">
        <v>1030</v>
      </c>
      <c r="B75" s="893"/>
      <c r="C75" s="893"/>
      <c r="D75" s="893"/>
      <c r="E75" s="893"/>
      <c r="F75" s="893"/>
      <c r="G75" s="551"/>
      <c r="H75" s="31"/>
      <c r="I75" s="31"/>
      <c r="J75" s="31"/>
      <c r="K75" s="31"/>
      <c r="L75" s="31"/>
      <c r="M75" s="31"/>
      <c r="N75" s="536"/>
    </row>
    <row r="76" spans="1:14" s="370" customFormat="1" ht="26.25" customHeight="1">
      <c r="A76" s="903"/>
      <c r="B76" s="904"/>
      <c r="C76" s="904"/>
      <c r="D76" s="904"/>
      <c r="E76" s="904"/>
      <c r="F76" s="905"/>
      <c r="G76" s="551"/>
      <c r="H76" s="31"/>
      <c r="I76" s="31"/>
      <c r="J76" s="31"/>
      <c r="K76" s="31"/>
      <c r="L76" s="31"/>
      <c r="M76" s="31"/>
      <c r="N76" s="536"/>
    </row>
    <row r="77" spans="1:14" s="370" customFormat="1">
      <c r="A77" s="894"/>
      <c r="B77" s="895"/>
      <c r="C77" s="895"/>
      <c r="D77" s="895"/>
      <c r="E77" s="895"/>
      <c r="F77" s="895"/>
      <c r="G77" s="551"/>
      <c r="H77" s="31"/>
      <c r="I77" s="31"/>
      <c r="J77" s="31"/>
      <c r="K77" s="31"/>
      <c r="L77" s="31"/>
      <c r="M77" s="31"/>
      <c r="N77" s="536"/>
    </row>
    <row r="78" spans="1:14" s="370" customFormat="1">
      <c r="A78" s="566" t="s">
        <v>268</v>
      </c>
      <c r="B78" s="556"/>
      <c r="C78" s="722"/>
      <c r="D78" s="556"/>
      <c r="E78" s="556"/>
      <c r="F78" s="556"/>
      <c r="G78" s="551"/>
      <c r="H78" s="31"/>
      <c r="I78" s="31"/>
      <c r="J78" s="31"/>
      <c r="K78" s="31"/>
      <c r="L78" s="31"/>
      <c r="M78" s="31"/>
      <c r="N78" s="536"/>
    </row>
    <row r="79" spans="1:14" s="370" customFormat="1" ht="28.65" customHeight="1">
      <c r="A79" s="896" t="s">
        <v>269</v>
      </c>
      <c r="B79" s="897"/>
      <c r="C79" s="897"/>
      <c r="D79" s="897"/>
      <c r="E79" s="897"/>
      <c r="F79" s="897"/>
      <c r="G79" s="551"/>
      <c r="H79" s="31"/>
      <c r="I79" s="31"/>
      <c r="J79" s="31"/>
      <c r="K79" s="31"/>
      <c r="L79" s="31"/>
      <c r="M79" s="31"/>
      <c r="N79" s="536"/>
    </row>
    <row r="80" spans="1:14" s="370" customFormat="1" ht="30.75" customHeight="1">
      <c r="A80" s="889"/>
      <c r="B80" s="890"/>
      <c r="C80" s="890"/>
      <c r="D80" s="890"/>
      <c r="E80" s="890"/>
      <c r="F80" s="891"/>
      <c r="G80" s="551"/>
      <c r="H80" s="31"/>
      <c r="I80" s="31"/>
      <c r="J80" s="31"/>
      <c r="K80" s="31"/>
      <c r="L80" s="31"/>
      <c r="M80" s="31"/>
      <c r="N80" s="536"/>
    </row>
    <row r="81" spans="1:14" s="370" customFormat="1" ht="15" thickBot="1">
      <c r="A81" s="567"/>
      <c r="B81" s="568"/>
      <c r="C81" s="569"/>
      <c r="D81" s="568"/>
      <c r="E81" s="568"/>
      <c r="F81" s="568"/>
      <c r="G81" s="570"/>
      <c r="H81" s="31"/>
      <c r="I81" s="31"/>
      <c r="J81" s="31"/>
      <c r="K81" s="31"/>
      <c r="L81" s="31"/>
      <c r="M81" s="31"/>
      <c r="N81" s="536"/>
    </row>
    <row r="82" spans="1:14" s="370" customFormat="1">
      <c r="A82" s="31"/>
      <c r="B82" s="31"/>
      <c r="C82" s="32"/>
      <c r="D82" s="31"/>
      <c r="E82" s="31"/>
      <c r="F82" s="31"/>
      <c r="G82" s="31"/>
      <c r="H82" s="31"/>
      <c r="I82" s="31"/>
      <c r="J82" s="31"/>
      <c r="K82" s="31"/>
      <c r="L82" s="31"/>
      <c r="M82" s="31"/>
      <c r="N82" s="536"/>
    </row>
    <row r="83" spans="1:14" s="370" customFormat="1">
      <c r="A83" s="31"/>
      <c r="B83" s="31"/>
      <c r="C83" s="32"/>
      <c r="D83" s="31"/>
      <c r="E83" s="31"/>
      <c r="F83" s="31"/>
      <c r="G83" s="31"/>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A85" s="31"/>
      <c r="B85" s="31"/>
      <c r="C85" s="32"/>
      <c r="D85" s="31"/>
      <c r="E85" s="31"/>
      <c r="F85" s="31"/>
      <c r="G85" s="31"/>
      <c r="H85" s="31"/>
      <c r="I85" s="31"/>
      <c r="J85" s="31"/>
      <c r="K85" s="31"/>
      <c r="L85" s="31"/>
      <c r="M85" s="31"/>
      <c r="N85" s="536"/>
    </row>
    <row r="86" spans="1:14" s="370" customFormat="1">
      <c r="A86" s="31"/>
      <c r="B86" s="31"/>
      <c r="C86" s="32"/>
      <c r="D86" s="31"/>
      <c r="E86" s="31"/>
      <c r="F86" s="31"/>
      <c r="G86" s="31"/>
      <c r="H86" s="31"/>
      <c r="I86" s="31"/>
      <c r="J86" s="31"/>
      <c r="K86" s="31"/>
      <c r="L86" s="31"/>
      <c r="M86" s="31"/>
      <c r="N86" s="536"/>
    </row>
    <row r="87" spans="1:14" s="370" customFormat="1">
      <c r="A87" s="31"/>
      <c r="B87" s="31"/>
      <c r="C87" s="32"/>
      <c r="D87" s="31"/>
      <c r="E87" s="31"/>
      <c r="F87" s="31"/>
      <c r="G87" s="31"/>
      <c r="H87" s="31"/>
      <c r="I87" s="31"/>
      <c r="J87" s="31"/>
      <c r="K87" s="31"/>
      <c r="L87" s="31"/>
      <c r="M87" s="31"/>
      <c r="N87" s="536"/>
    </row>
    <row r="88" spans="1:14" s="370" customFormat="1">
      <c r="A88" s="31"/>
      <c r="B88" s="31"/>
      <c r="C88" s="32"/>
      <c r="D88" s="31"/>
      <c r="E88" s="31"/>
      <c r="F88" s="31"/>
      <c r="G88" s="31"/>
      <c r="H88" s="31"/>
      <c r="I88" s="31"/>
      <c r="J88" s="31"/>
      <c r="K88" s="31"/>
      <c r="L88" s="31"/>
      <c r="M88" s="31"/>
      <c r="N88" s="536"/>
    </row>
    <row r="89" spans="1:14" s="370" customFormat="1">
      <c r="A89" s="31"/>
      <c r="B89" s="31"/>
      <c r="C89" s="32"/>
      <c r="D89" s="31"/>
      <c r="E89" s="31"/>
      <c r="F89" s="31"/>
      <c r="G89" s="31"/>
      <c r="H89" s="31"/>
      <c r="I89" s="31"/>
      <c r="J89" s="31"/>
      <c r="K89" s="31"/>
      <c r="L89" s="31"/>
      <c r="M89" s="31"/>
      <c r="N89" s="536"/>
    </row>
    <row r="90" spans="1:14" s="370" customFormat="1">
      <c r="A90" s="31"/>
      <c r="B90" s="31"/>
      <c r="C90" s="32"/>
      <c r="D90" s="31"/>
      <c r="E90" s="31"/>
      <c r="F90" s="31"/>
      <c r="G90" s="31"/>
      <c r="H90" s="31"/>
      <c r="I90" s="31"/>
      <c r="J90" s="31"/>
      <c r="K90" s="31"/>
      <c r="L90" s="31"/>
      <c r="M90" s="31"/>
      <c r="N90" s="536"/>
    </row>
    <row r="91" spans="1:14" s="370" customFormat="1">
      <c r="A91" s="31"/>
      <c r="B91" s="31"/>
      <c r="C91" s="32"/>
      <c r="D91" s="31"/>
      <c r="E91" s="31"/>
      <c r="F91" s="31"/>
      <c r="G91" s="31"/>
      <c r="H91" s="31"/>
      <c r="I91" s="31"/>
      <c r="J91" s="31"/>
      <c r="K91" s="31"/>
      <c r="L91" s="31"/>
      <c r="M91" s="31"/>
      <c r="N91" s="536"/>
    </row>
    <row r="92" spans="1:14" s="370" customFormat="1">
      <c r="A92" s="31"/>
      <c r="B92" s="31"/>
      <c r="C92" s="32"/>
      <c r="D92" s="31"/>
      <c r="E92" s="31"/>
      <c r="F92" s="31"/>
      <c r="G92" s="31"/>
      <c r="H92" s="31"/>
      <c r="I92" s="31"/>
      <c r="J92" s="31"/>
      <c r="K92" s="31"/>
      <c r="L92" s="31"/>
      <c r="M92" s="31"/>
      <c r="N92" s="536"/>
    </row>
    <row r="93" spans="1:14" s="370" customFormat="1">
      <c r="A93" s="31"/>
      <c r="B93" s="31"/>
      <c r="C93" s="32"/>
      <c r="D93" s="31"/>
      <c r="E93" s="31"/>
      <c r="F93" s="31"/>
      <c r="G93" s="31"/>
      <c r="H93" s="31"/>
      <c r="I93" s="31"/>
      <c r="J93" s="31"/>
      <c r="K93" s="31"/>
      <c r="L93" s="31"/>
      <c r="M93" s="31"/>
      <c r="N93" s="536"/>
    </row>
    <row r="94" spans="1:14" s="370" customFormat="1">
      <c r="A94" s="31"/>
      <c r="B94" s="31"/>
      <c r="C94" s="32"/>
      <c r="D94" s="31"/>
      <c r="E94" s="31"/>
      <c r="F94" s="31"/>
      <c r="G94" s="31"/>
      <c r="H94" s="31"/>
      <c r="I94" s="31"/>
      <c r="J94" s="31"/>
      <c r="K94" s="31"/>
      <c r="L94" s="31"/>
      <c r="M94" s="31"/>
      <c r="N94" s="536"/>
    </row>
    <row r="95" spans="1:14" s="370" customFormat="1">
      <c r="A95" s="31"/>
      <c r="B95" s="31"/>
      <c r="C95" s="32"/>
      <c r="D95" s="31"/>
      <c r="E95" s="31"/>
      <c r="F95" s="31"/>
      <c r="G95" s="31"/>
      <c r="H95" s="31"/>
      <c r="I95" s="31"/>
      <c r="J95" s="31"/>
      <c r="K95" s="31"/>
      <c r="L95" s="31"/>
      <c r="M95" s="31"/>
      <c r="N95" s="536"/>
    </row>
    <row r="96" spans="1:14" s="370" customFormat="1">
      <c r="A96" s="31"/>
      <c r="B96" s="31"/>
      <c r="C96" s="32"/>
      <c r="D96" s="31"/>
      <c r="E96" s="31"/>
      <c r="F96" s="31"/>
      <c r="G96" s="31"/>
      <c r="H96" s="31"/>
      <c r="I96" s="31"/>
      <c r="J96" s="31"/>
      <c r="K96" s="31"/>
      <c r="L96" s="31"/>
      <c r="M96" s="31"/>
      <c r="N96" s="536"/>
    </row>
    <row r="97" spans="1:14" s="370" customFormat="1">
      <c r="A97" s="31"/>
      <c r="B97" s="31"/>
      <c r="C97" s="32"/>
      <c r="D97" s="31"/>
      <c r="E97" s="31"/>
      <c r="F97" s="31"/>
      <c r="G97" s="31"/>
      <c r="H97" s="31"/>
      <c r="I97" s="31"/>
      <c r="J97" s="31"/>
      <c r="K97" s="31"/>
      <c r="L97" s="31"/>
      <c r="M97" s="31"/>
      <c r="N97" s="536"/>
    </row>
    <row r="98" spans="1:14" s="370" customFormat="1">
      <c r="A98" s="31"/>
      <c r="B98" s="31"/>
      <c r="C98" s="32"/>
      <c r="D98" s="31"/>
      <c r="E98" s="31"/>
      <c r="F98" s="31"/>
      <c r="G98" s="31"/>
      <c r="H98" s="31"/>
      <c r="I98" s="31"/>
      <c r="J98" s="31"/>
      <c r="K98" s="31"/>
      <c r="L98" s="31"/>
      <c r="M98" s="31"/>
      <c r="N98" s="536"/>
    </row>
    <row r="99" spans="1:14" s="370" customFormat="1">
      <c r="A99" s="31"/>
      <c r="B99" s="31"/>
      <c r="C99" s="32"/>
      <c r="D99" s="31"/>
      <c r="E99" s="31"/>
      <c r="F99" s="31"/>
      <c r="G99" s="31"/>
      <c r="H99" s="31"/>
      <c r="I99" s="31"/>
      <c r="J99" s="31"/>
      <c r="K99" s="31"/>
      <c r="L99" s="31"/>
      <c r="M99" s="31"/>
      <c r="N99" s="536"/>
    </row>
  </sheetData>
  <mergeCells count="17">
    <mergeCell ref="A79:F79"/>
    <mergeCell ref="A80:F80"/>
    <mergeCell ref="A70:E70"/>
    <mergeCell ref="A71:F71"/>
    <mergeCell ref="A75:F75"/>
    <mergeCell ref="A76:F76"/>
    <mergeCell ref="A77:F77"/>
    <mergeCell ref="A61:F61"/>
    <mergeCell ref="A64:F64"/>
    <mergeCell ref="A66:F66"/>
    <mergeCell ref="A67:F67"/>
    <mergeCell ref="A68:F68"/>
    <mergeCell ref="A1:N1"/>
    <mergeCell ref="A52:F52"/>
    <mergeCell ref="A53:F53"/>
    <mergeCell ref="A54:B54"/>
    <mergeCell ref="A60:F60"/>
  </mergeCells>
  <printOptions horizontalCentered="1"/>
  <pageMargins left="0.2" right="0.2" top="0.75" bottom="0.75" header="0.3" footer="0.3"/>
  <pageSetup scale="65" orientation="landscape" r:id="rId1"/>
  <headerFooter>
    <oddHeader xml:space="preserve">&amp;CDRAFT NOT FOR DISTRIBUTION, INTERNAL USE ONLY
</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pageSetUpPr fitToPage="1"/>
  </sheetPr>
  <dimension ref="A1:S102"/>
  <sheetViews>
    <sheetView zoomScale="90" zoomScaleNormal="90" workbookViewId="0">
      <selection sqref="A1:N1"/>
    </sheetView>
  </sheetViews>
  <sheetFormatPr defaultColWidth="9.1796875" defaultRowHeight="14.5"/>
  <cols>
    <col min="1" max="1" width="42" style="149" customWidth="1"/>
    <col min="2" max="13" width="9.1796875" style="149"/>
    <col min="14" max="14" width="63.54296875" style="49" customWidth="1"/>
    <col min="15" max="16384" width="9.1796875" style="149"/>
  </cols>
  <sheetData>
    <row r="1" spans="1:14" ht="15.5">
      <c r="A1" s="854" t="s">
        <v>346</v>
      </c>
      <c r="B1" s="854"/>
      <c r="C1" s="854"/>
      <c r="D1" s="854"/>
      <c r="E1" s="854"/>
      <c r="F1" s="854"/>
      <c r="G1" s="854"/>
      <c r="H1" s="854"/>
      <c r="I1" s="854"/>
      <c r="J1" s="854"/>
      <c r="K1" s="854"/>
      <c r="L1" s="854"/>
      <c r="M1" s="854"/>
      <c r="N1" s="854"/>
    </row>
    <row r="2" spans="1:14">
      <c r="A2" s="702" t="s">
        <v>900</v>
      </c>
      <c r="B2" s="639"/>
      <c r="C2" s="370"/>
      <c r="D2" s="370"/>
      <c r="E2" s="370"/>
      <c r="F2" s="370"/>
      <c r="G2" s="370"/>
      <c r="H2" s="370"/>
      <c r="I2" s="370"/>
      <c r="J2" s="370"/>
      <c r="K2" s="370"/>
      <c r="L2" s="370"/>
      <c r="M2" s="370"/>
      <c r="N2" s="539"/>
    </row>
    <row r="3" spans="1:14" ht="26">
      <c r="A3" s="506" t="s">
        <v>1269</v>
      </c>
      <c r="B3" s="370"/>
      <c r="C3" s="370"/>
      <c r="D3" s="370"/>
      <c r="E3" s="370"/>
      <c r="F3" s="370"/>
      <c r="G3" s="370"/>
      <c r="H3" s="29"/>
      <c r="I3" s="451" t="s">
        <v>210</v>
      </c>
      <c r="J3" s="370"/>
      <c r="K3" s="370"/>
      <c r="L3" s="370"/>
      <c r="M3" s="370"/>
      <c r="N3" s="539"/>
    </row>
    <row r="4" spans="1:14" ht="26">
      <c r="A4" s="506" t="s">
        <v>817</v>
      </c>
      <c r="B4" s="31"/>
      <c r="C4" s="32"/>
      <c r="D4" s="31"/>
      <c r="E4" s="31"/>
      <c r="F4" s="370"/>
      <c r="G4" s="370"/>
      <c r="H4" s="370"/>
      <c r="I4" s="370"/>
      <c r="J4" s="370"/>
      <c r="K4" s="370"/>
      <c r="L4" s="370"/>
      <c r="M4" s="370"/>
      <c r="N4" s="539"/>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128"/>
    </row>
    <row r="7" spans="1:14" s="347" customFormat="1">
      <c r="A7" s="36" t="s">
        <v>581</v>
      </c>
      <c r="B7" s="36" t="s">
        <v>582</v>
      </c>
      <c r="C7" s="37" t="s">
        <v>218</v>
      </c>
      <c r="D7" s="38">
        <v>0.33</v>
      </c>
      <c r="E7" s="258">
        <v>65</v>
      </c>
      <c r="F7" s="303">
        <f>SUM(G7:M7)</f>
        <v>67</v>
      </c>
      <c r="G7" s="304">
        <v>0</v>
      </c>
      <c r="H7" s="304">
        <v>0</v>
      </c>
      <c r="I7" s="304">
        <v>0</v>
      </c>
      <c r="J7" s="304">
        <v>0</v>
      </c>
      <c r="K7" s="304">
        <v>67</v>
      </c>
      <c r="L7" s="304">
        <v>0</v>
      </c>
      <c r="M7" s="305">
        <v>0</v>
      </c>
      <c r="N7" s="318" t="s">
        <v>1270</v>
      </c>
    </row>
    <row r="8" spans="1:14" s="347" customFormat="1">
      <c r="A8" s="36" t="s">
        <v>583</v>
      </c>
      <c r="B8" s="259" t="s">
        <v>538</v>
      </c>
      <c r="C8" s="37" t="s">
        <v>218</v>
      </c>
      <c r="D8" s="39"/>
      <c r="E8" s="258">
        <v>0</v>
      </c>
      <c r="F8" s="303">
        <f>SUM(G8:M8)</f>
        <v>0</v>
      </c>
      <c r="G8" s="304">
        <v>0</v>
      </c>
      <c r="H8" s="304">
        <v>0</v>
      </c>
      <c r="I8" s="304">
        <v>0</v>
      </c>
      <c r="J8" s="304">
        <v>0</v>
      </c>
      <c r="K8" s="304">
        <v>0</v>
      </c>
      <c r="L8" s="304">
        <v>0</v>
      </c>
      <c r="M8" s="305">
        <v>0</v>
      </c>
      <c r="N8" s="318"/>
    </row>
    <row r="9" spans="1:14" ht="29">
      <c r="A9" s="36" t="s">
        <v>584</v>
      </c>
      <c r="B9" s="259" t="s">
        <v>538</v>
      </c>
      <c r="C9" s="37" t="s">
        <v>218</v>
      </c>
      <c r="D9" s="39">
        <v>1</v>
      </c>
      <c r="E9" s="258">
        <v>0</v>
      </c>
      <c r="F9" s="303">
        <f>SUM(G9:M9)</f>
        <v>150</v>
      </c>
      <c r="G9" s="304">
        <v>0</v>
      </c>
      <c r="H9" s="304">
        <v>0</v>
      </c>
      <c r="I9" s="304">
        <v>0</v>
      </c>
      <c r="J9" s="304">
        <v>0</v>
      </c>
      <c r="K9" s="304">
        <v>0</v>
      </c>
      <c r="L9" s="304">
        <v>150</v>
      </c>
      <c r="M9" s="305">
        <v>0</v>
      </c>
      <c r="N9" s="318" t="s">
        <v>1271</v>
      </c>
    </row>
    <row r="10" spans="1:14">
      <c r="A10" s="36" t="s">
        <v>217</v>
      </c>
      <c r="B10" s="259"/>
      <c r="C10" s="37" t="s">
        <v>218</v>
      </c>
      <c r="D10" s="39"/>
      <c r="E10" s="258">
        <v>0</v>
      </c>
      <c r="F10" s="303">
        <f>SUM(G10:M10)</f>
        <v>0</v>
      </c>
      <c r="G10" s="304">
        <v>0</v>
      </c>
      <c r="H10" s="304">
        <v>0</v>
      </c>
      <c r="I10" s="304">
        <v>0</v>
      </c>
      <c r="J10" s="304">
        <v>0</v>
      </c>
      <c r="K10" s="304"/>
      <c r="L10" s="304"/>
      <c r="M10" s="305">
        <v>0</v>
      </c>
      <c r="N10" s="348"/>
    </row>
    <row r="11" spans="1:14">
      <c r="A11" s="40" t="s">
        <v>219</v>
      </c>
      <c r="B11" s="260"/>
      <c r="C11" s="261"/>
      <c r="D11" s="41">
        <f>SUM(D7:D10)</f>
        <v>1.33</v>
      </c>
      <c r="E11" s="43">
        <f>SUM(E7:E10)</f>
        <v>65</v>
      </c>
      <c r="F11" s="43">
        <f>SUM(F7:F10)</f>
        <v>217</v>
      </c>
      <c r="G11" s="43">
        <f t="shared" ref="G11:M11" si="0">SUM(G7:G10)</f>
        <v>0</v>
      </c>
      <c r="H11" s="43">
        <f t="shared" si="0"/>
        <v>0</v>
      </c>
      <c r="I11" s="43">
        <f t="shared" si="0"/>
        <v>0</v>
      </c>
      <c r="J11" s="43">
        <f t="shared" si="0"/>
        <v>0</v>
      </c>
      <c r="K11" s="43">
        <f t="shared" si="0"/>
        <v>67</v>
      </c>
      <c r="L11" s="43">
        <f t="shared" si="0"/>
        <v>150</v>
      </c>
      <c r="M11" s="43">
        <f t="shared" si="0"/>
        <v>0</v>
      </c>
      <c r="N11" s="250"/>
    </row>
    <row r="12" spans="1:14">
      <c r="A12" s="125" t="s">
        <v>220</v>
      </c>
      <c r="B12" s="126"/>
      <c r="C12" s="127"/>
      <c r="D12" s="126"/>
      <c r="E12" s="126"/>
      <c r="F12" s="87"/>
      <c r="G12" s="87"/>
      <c r="H12" s="87"/>
      <c r="I12" s="87"/>
      <c r="J12" s="87"/>
      <c r="K12" s="87"/>
      <c r="L12" s="87"/>
      <c r="M12" s="87"/>
      <c r="N12" s="128"/>
    </row>
    <row r="13" spans="1:14" ht="72.5">
      <c r="A13" s="530" t="s">
        <v>1049</v>
      </c>
      <c r="B13" s="530" t="s">
        <v>588</v>
      </c>
      <c r="C13" s="44">
        <v>253</v>
      </c>
      <c r="D13" s="45"/>
      <c r="E13" s="258">
        <v>800</v>
      </c>
      <c r="F13" s="350">
        <f>SUM(G13:M13)</f>
        <v>790</v>
      </c>
      <c r="G13" s="304">
        <v>0</v>
      </c>
      <c r="H13" s="304">
        <v>0</v>
      </c>
      <c r="I13" s="304">
        <v>0</v>
      </c>
      <c r="J13" s="304">
        <v>0</v>
      </c>
      <c r="K13" s="304">
        <v>790</v>
      </c>
      <c r="L13" s="304">
        <v>0</v>
      </c>
      <c r="M13" s="305">
        <v>0</v>
      </c>
      <c r="N13" s="320" t="s">
        <v>1272</v>
      </c>
    </row>
    <row r="14" spans="1:14">
      <c r="A14" s="259" t="s">
        <v>298</v>
      </c>
      <c r="B14" s="259"/>
      <c r="C14" s="44">
        <v>253</v>
      </c>
      <c r="D14" s="45"/>
      <c r="E14" s="258">
        <v>0</v>
      </c>
      <c r="F14" s="350">
        <f>SUM(G14:M14)</f>
        <v>0</v>
      </c>
      <c r="G14" s="304">
        <v>0</v>
      </c>
      <c r="H14" s="304">
        <v>0</v>
      </c>
      <c r="I14" s="304">
        <v>0</v>
      </c>
      <c r="J14" s="304">
        <v>0</v>
      </c>
      <c r="K14" s="304">
        <v>0</v>
      </c>
      <c r="L14" s="304">
        <v>0</v>
      </c>
      <c r="M14" s="305">
        <v>0</v>
      </c>
      <c r="N14" s="320"/>
    </row>
    <row r="15" spans="1:14" ht="116">
      <c r="A15" s="71" t="s">
        <v>585</v>
      </c>
      <c r="B15" s="371" t="s">
        <v>1276</v>
      </c>
      <c r="C15" s="44">
        <v>253</v>
      </c>
      <c r="D15" s="262"/>
      <c r="E15" s="258">
        <v>170</v>
      </c>
      <c r="F15" s="350">
        <f>SUM(G15:M15)</f>
        <v>130</v>
      </c>
      <c r="G15" s="304">
        <v>0</v>
      </c>
      <c r="H15" s="304">
        <v>0</v>
      </c>
      <c r="I15" s="304">
        <v>0</v>
      </c>
      <c r="J15" s="304">
        <v>0</v>
      </c>
      <c r="K15" s="304">
        <v>110</v>
      </c>
      <c r="L15" s="304">
        <v>20</v>
      </c>
      <c r="M15" s="305">
        <v>0</v>
      </c>
      <c r="N15" s="318" t="s">
        <v>1050</v>
      </c>
    </row>
    <row r="16" spans="1:14">
      <c r="A16" s="40" t="s">
        <v>225</v>
      </c>
      <c r="B16" s="260"/>
      <c r="C16" s="261"/>
      <c r="D16" s="262">
        <v>0</v>
      </c>
      <c r="E16" s="43">
        <f>SUM(E13:E15)</f>
        <v>970</v>
      </c>
      <c r="F16" s="43">
        <f>SUM(F13:F15)</f>
        <v>920</v>
      </c>
      <c r="G16" s="43">
        <f t="shared" ref="G16:M16" si="1">SUM(G13:G15)</f>
        <v>0</v>
      </c>
      <c r="H16" s="43">
        <f t="shared" si="1"/>
        <v>0</v>
      </c>
      <c r="I16" s="43">
        <f t="shared" si="1"/>
        <v>0</v>
      </c>
      <c r="J16" s="43">
        <f t="shared" si="1"/>
        <v>0</v>
      </c>
      <c r="K16" s="43">
        <f t="shared" si="1"/>
        <v>900</v>
      </c>
      <c r="L16" s="43">
        <f t="shared" si="1"/>
        <v>20</v>
      </c>
      <c r="M16" s="43">
        <f t="shared" si="1"/>
        <v>0</v>
      </c>
      <c r="N16" s="318"/>
    </row>
    <row r="17" spans="1:14">
      <c r="A17" s="125" t="s">
        <v>279</v>
      </c>
      <c r="B17" s="126"/>
      <c r="C17" s="127"/>
      <c r="D17" s="126"/>
      <c r="E17" s="126"/>
      <c r="F17" s="87"/>
      <c r="G17" s="87"/>
      <c r="H17" s="87"/>
      <c r="I17" s="87"/>
      <c r="J17" s="87"/>
      <c r="K17" s="87"/>
      <c r="L17" s="87"/>
      <c r="M17" s="87"/>
      <c r="N17" s="128"/>
    </row>
    <row r="18" spans="1:14">
      <c r="A18" s="259" t="s">
        <v>227</v>
      </c>
      <c r="B18" s="36"/>
      <c r="C18" s="37" t="s">
        <v>228</v>
      </c>
      <c r="D18" s="38">
        <v>0</v>
      </c>
      <c r="E18" s="258">
        <v>2</v>
      </c>
      <c r="F18" s="303">
        <f t="shared" ref="F18:F38" si="2">SUM(G18:M18)</f>
        <v>2</v>
      </c>
      <c r="G18" s="304">
        <v>0</v>
      </c>
      <c r="H18" s="304">
        <v>0</v>
      </c>
      <c r="I18" s="304">
        <v>0</v>
      </c>
      <c r="J18" s="304">
        <v>0</v>
      </c>
      <c r="K18" s="304">
        <v>2</v>
      </c>
      <c r="L18" s="304">
        <v>0</v>
      </c>
      <c r="M18" s="305">
        <v>0</v>
      </c>
      <c r="N18" s="318"/>
    </row>
    <row r="19" spans="1:14">
      <c r="A19" s="259" t="s">
        <v>229</v>
      </c>
      <c r="B19" s="36"/>
      <c r="C19" s="44" t="s">
        <v>230</v>
      </c>
      <c r="D19" s="45"/>
      <c r="E19" s="258">
        <v>0</v>
      </c>
      <c r="F19" s="303">
        <f t="shared" si="2"/>
        <v>0</v>
      </c>
      <c r="G19" s="304">
        <v>0</v>
      </c>
      <c r="H19" s="304">
        <v>0</v>
      </c>
      <c r="I19" s="304">
        <v>0</v>
      </c>
      <c r="J19" s="304">
        <v>0</v>
      </c>
      <c r="K19" s="304"/>
      <c r="L19" s="304">
        <v>0</v>
      </c>
      <c r="M19" s="305">
        <v>0</v>
      </c>
      <c r="N19" s="318"/>
    </row>
    <row r="20" spans="1:14">
      <c r="A20" s="259" t="s">
        <v>231</v>
      </c>
      <c r="B20" s="36"/>
      <c r="C20" s="44" t="s">
        <v>232</v>
      </c>
      <c r="D20" s="45"/>
      <c r="E20" s="258">
        <v>0</v>
      </c>
      <c r="F20" s="303">
        <f t="shared" si="2"/>
        <v>0</v>
      </c>
      <c r="G20" s="304">
        <v>0</v>
      </c>
      <c r="H20" s="304">
        <v>0</v>
      </c>
      <c r="I20" s="304">
        <v>0</v>
      </c>
      <c r="J20" s="304">
        <v>0</v>
      </c>
      <c r="K20" s="304"/>
      <c r="L20" s="304">
        <v>0</v>
      </c>
      <c r="M20" s="305">
        <v>0</v>
      </c>
      <c r="N20" s="318"/>
    </row>
    <row r="21" spans="1:14">
      <c r="A21" s="259" t="s">
        <v>233</v>
      </c>
      <c r="B21" s="36"/>
      <c r="C21" s="44" t="s">
        <v>234</v>
      </c>
      <c r="D21" s="45"/>
      <c r="E21" s="258">
        <v>0</v>
      </c>
      <c r="F21" s="303">
        <f t="shared" si="2"/>
        <v>0</v>
      </c>
      <c r="G21" s="304">
        <v>0</v>
      </c>
      <c r="H21" s="304">
        <v>0</v>
      </c>
      <c r="I21" s="304">
        <v>0</v>
      </c>
      <c r="J21" s="304">
        <v>0</v>
      </c>
      <c r="K21" s="304"/>
      <c r="L21" s="304">
        <v>0</v>
      </c>
      <c r="M21" s="305">
        <v>0</v>
      </c>
      <c r="N21" s="318"/>
    </row>
    <row r="22" spans="1:14">
      <c r="A22" s="259" t="s">
        <v>235</v>
      </c>
      <c r="B22" s="36"/>
      <c r="C22" s="44">
        <v>252</v>
      </c>
      <c r="D22" s="45"/>
      <c r="E22" s="258">
        <v>0</v>
      </c>
      <c r="F22" s="303">
        <f t="shared" si="2"/>
        <v>0</v>
      </c>
      <c r="G22" s="304">
        <v>0</v>
      </c>
      <c r="H22" s="304">
        <v>0</v>
      </c>
      <c r="I22" s="304">
        <v>0</v>
      </c>
      <c r="J22" s="304">
        <v>0</v>
      </c>
      <c r="K22" s="304"/>
      <c r="L22" s="304">
        <v>0</v>
      </c>
      <c r="M22" s="305">
        <v>0</v>
      </c>
      <c r="N22" s="318"/>
    </row>
    <row r="23" spans="1:14" s="370" customFormat="1">
      <c r="A23" s="544" t="s">
        <v>317</v>
      </c>
      <c r="B23" s="57"/>
      <c r="C23" s="597">
        <v>252</v>
      </c>
      <c r="D23" s="45"/>
      <c r="E23" s="258">
        <v>0</v>
      </c>
      <c r="F23" s="303">
        <f t="shared" si="2"/>
        <v>0</v>
      </c>
      <c r="G23" s="304">
        <v>0</v>
      </c>
      <c r="H23" s="304">
        <v>0</v>
      </c>
      <c r="I23" s="304">
        <v>0</v>
      </c>
      <c r="J23" s="304">
        <v>0</v>
      </c>
      <c r="K23" s="304">
        <v>0</v>
      </c>
      <c r="L23" s="304">
        <v>0</v>
      </c>
      <c r="M23" s="305">
        <v>0</v>
      </c>
      <c r="N23" s="318"/>
    </row>
    <row r="24" spans="1:14" s="370" customFormat="1" ht="278" customHeight="1">
      <c r="A24" s="544" t="s">
        <v>1051</v>
      </c>
      <c r="B24" s="57" t="s">
        <v>586</v>
      </c>
      <c r="C24" s="597">
        <v>252</v>
      </c>
      <c r="D24" s="45"/>
      <c r="E24" s="258">
        <v>210</v>
      </c>
      <c r="F24" s="303">
        <f t="shared" si="2"/>
        <v>265</v>
      </c>
      <c r="G24" s="304"/>
      <c r="H24" s="304"/>
      <c r="I24" s="304"/>
      <c r="J24" s="304"/>
      <c r="K24" s="304">
        <v>245</v>
      </c>
      <c r="L24" s="304">
        <v>20</v>
      </c>
      <c r="M24" s="305"/>
      <c r="N24" s="318" t="s">
        <v>1273</v>
      </c>
    </row>
    <row r="25" spans="1:14" s="370" customFormat="1" ht="188.5">
      <c r="A25" s="544" t="s">
        <v>1052</v>
      </c>
      <c r="B25" s="57" t="s">
        <v>586</v>
      </c>
      <c r="C25" s="597">
        <v>252</v>
      </c>
      <c r="D25" s="45"/>
      <c r="E25" s="258">
        <v>415</v>
      </c>
      <c r="F25" s="303">
        <f t="shared" si="2"/>
        <v>315</v>
      </c>
      <c r="G25" s="304">
        <v>0</v>
      </c>
      <c r="H25" s="304">
        <v>0</v>
      </c>
      <c r="I25" s="304">
        <v>0</v>
      </c>
      <c r="J25" s="304">
        <v>0</v>
      </c>
      <c r="K25" s="304">
        <v>250</v>
      </c>
      <c r="L25" s="304">
        <v>65</v>
      </c>
      <c r="M25" s="305">
        <v>0</v>
      </c>
      <c r="N25" s="320" t="s">
        <v>1274</v>
      </c>
    </row>
    <row r="26" spans="1:14" s="370" customFormat="1" ht="43.5">
      <c r="A26" s="544" t="s">
        <v>1275</v>
      </c>
      <c r="B26" s="57" t="s">
        <v>1053</v>
      </c>
      <c r="C26" s="597">
        <v>252</v>
      </c>
      <c r="D26" s="45"/>
      <c r="E26" s="258">
        <v>270</v>
      </c>
      <c r="F26" s="303">
        <f t="shared" si="2"/>
        <v>270</v>
      </c>
      <c r="G26" s="304">
        <v>0</v>
      </c>
      <c r="H26" s="304">
        <v>0</v>
      </c>
      <c r="I26" s="304">
        <v>0</v>
      </c>
      <c r="J26" s="304">
        <v>0</v>
      </c>
      <c r="K26" s="304">
        <v>270</v>
      </c>
      <c r="L26" s="304">
        <v>0</v>
      </c>
      <c r="M26" s="305">
        <v>0</v>
      </c>
      <c r="N26" s="318" t="s">
        <v>1054</v>
      </c>
    </row>
    <row r="27" spans="1:14" s="370" customFormat="1" ht="101.5">
      <c r="A27" s="544" t="s">
        <v>587</v>
      </c>
      <c r="B27" s="57" t="s">
        <v>1053</v>
      </c>
      <c r="C27" s="597">
        <v>252</v>
      </c>
      <c r="D27" s="598"/>
      <c r="E27" s="258">
        <v>1000</v>
      </c>
      <c r="F27" s="303">
        <f t="shared" si="2"/>
        <v>1500</v>
      </c>
      <c r="G27" s="304">
        <v>0</v>
      </c>
      <c r="H27" s="304">
        <v>0</v>
      </c>
      <c r="I27" s="304">
        <v>0</v>
      </c>
      <c r="J27" s="304">
        <v>0</v>
      </c>
      <c r="K27" s="304">
        <v>1500</v>
      </c>
      <c r="L27" s="304">
        <v>0</v>
      </c>
      <c r="M27" s="305">
        <v>0</v>
      </c>
      <c r="N27" s="602" t="s">
        <v>1055</v>
      </c>
    </row>
    <row r="28" spans="1:14" s="370" customFormat="1" ht="43.5" customHeight="1">
      <c r="A28" s="544" t="s">
        <v>589</v>
      </c>
      <c r="B28" s="57"/>
      <c r="C28" s="597">
        <v>252</v>
      </c>
      <c r="D28" s="45"/>
      <c r="E28" s="258">
        <v>1500</v>
      </c>
      <c r="F28" s="303">
        <f t="shared" si="2"/>
        <v>0</v>
      </c>
      <c r="G28" s="304">
        <v>0</v>
      </c>
      <c r="H28" s="304">
        <v>0</v>
      </c>
      <c r="I28" s="304">
        <v>0</v>
      </c>
      <c r="J28" s="304">
        <v>0</v>
      </c>
      <c r="K28" s="304">
        <v>0</v>
      </c>
      <c r="L28" s="304">
        <v>0</v>
      </c>
      <c r="M28" s="305">
        <v>0</v>
      </c>
      <c r="N28" s="318" t="s">
        <v>1056</v>
      </c>
    </row>
    <row r="29" spans="1:14" s="370" customFormat="1">
      <c r="A29" s="544" t="s">
        <v>317</v>
      </c>
      <c r="B29" s="57"/>
      <c r="C29" s="597">
        <v>252</v>
      </c>
      <c r="D29" s="45"/>
      <c r="E29" s="258">
        <v>0</v>
      </c>
      <c r="F29" s="303">
        <f t="shared" si="2"/>
        <v>0</v>
      </c>
      <c r="G29" s="304">
        <v>0</v>
      </c>
      <c r="H29" s="304">
        <v>0</v>
      </c>
      <c r="I29" s="304">
        <v>0</v>
      </c>
      <c r="J29" s="304">
        <v>0</v>
      </c>
      <c r="K29" s="304">
        <v>0</v>
      </c>
      <c r="L29" s="304">
        <v>0</v>
      </c>
      <c r="M29" s="305">
        <v>0</v>
      </c>
      <c r="N29" s="318"/>
    </row>
    <row r="30" spans="1:14" s="370" customFormat="1" ht="29">
      <c r="A30" s="544" t="s">
        <v>590</v>
      </c>
      <c r="B30" s="57"/>
      <c r="C30" s="597">
        <v>252</v>
      </c>
      <c r="D30" s="45"/>
      <c r="E30" s="258">
        <v>50</v>
      </c>
      <c r="F30" s="303">
        <f>SUM(G30:M30)</f>
        <v>50</v>
      </c>
      <c r="G30" s="304">
        <v>0</v>
      </c>
      <c r="H30" s="304">
        <v>0</v>
      </c>
      <c r="I30" s="304">
        <v>0</v>
      </c>
      <c r="J30" s="304">
        <v>0</v>
      </c>
      <c r="K30" s="304">
        <v>0</v>
      </c>
      <c r="L30" s="304">
        <v>50</v>
      </c>
      <c r="M30" s="305">
        <v>0</v>
      </c>
      <c r="N30" s="320" t="s">
        <v>1057</v>
      </c>
    </row>
    <row r="31" spans="1:14" s="370" customFormat="1" ht="72.5">
      <c r="A31" s="544" t="s">
        <v>591</v>
      </c>
      <c r="B31" s="57"/>
      <c r="C31" s="597">
        <v>252</v>
      </c>
      <c r="D31" s="45"/>
      <c r="E31" s="258">
        <v>175</v>
      </c>
      <c r="F31" s="303">
        <f t="shared" si="2"/>
        <v>175</v>
      </c>
      <c r="G31" s="304">
        <v>0</v>
      </c>
      <c r="H31" s="304">
        <v>0</v>
      </c>
      <c r="I31" s="304">
        <v>0</v>
      </c>
      <c r="J31" s="304">
        <v>0</v>
      </c>
      <c r="K31" s="304">
        <v>0</v>
      </c>
      <c r="L31" s="304">
        <v>175</v>
      </c>
      <c r="M31" s="305">
        <v>0</v>
      </c>
      <c r="N31" s="98" t="s">
        <v>1058</v>
      </c>
    </row>
    <row r="32" spans="1:14" s="314" customFormat="1">
      <c r="A32" s="259" t="s">
        <v>242</v>
      </c>
      <c r="B32" s="36"/>
      <c r="C32" s="44">
        <v>252</v>
      </c>
      <c r="D32" s="262"/>
      <c r="E32" s="258">
        <v>0</v>
      </c>
      <c r="F32" s="303">
        <f t="shared" si="2"/>
        <v>0</v>
      </c>
      <c r="G32" s="304">
        <v>0</v>
      </c>
      <c r="H32" s="304">
        <v>0</v>
      </c>
      <c r="I32" s="304">
        <v>0</v>
      </c>
      <c r="J32" s="304">
        <v>0</v>
      </c>
      <c r="K32" s="304">
        <v>0</v>
      </c>
      <c r="L32" s="304">
        <v>0</v>
      </c>
      <c r="M32" s="305">
        <v>0</v>
      </c>
      <c r="N32" s="320"/>
    </row>
    <row r="33" spans="1:14">
      <c r="A33" s="259" t="s">
        <v>243</v>
      </c>
      <c r="B33" s="36"/>
      <c r="C33" s="44">
        <v>252</v>
      </c>
      <c r="D33" s="45"/>
      <c r="E33" s="258">
        <v>0</v>
      </c>
      <c r="F33" s="303">
        <f t="shared" si="2"/>
        <v>0</v>
      </c>
      <c r="G33" s="304">
        <v>0</v>
      </c>
      <c r="H33" s="304">
        <v>0</v>
      </c>
      <c r="I33" s="304">
        <v>0</v>
      </c>
      <c r="J33" s="304">
        <v>0</v>
      </c>
      <c r="K33" s="304">
        <v>0</v>
      </c>
      <c r="L33" s="304">
        <v>0</v>
      </c>
      <c r="M33" s="305">
        <v>0</v>
      </c>
      <c r="N33" s="318"/>
    </row>
    <row r="34" spans="1:14">
      <c r="A34" s="259" t="s">
        <v>244</v>
      </c>
      <c r="B34" s="36"/>
      <c r="C34" s="44">
        <v>253</v>
      </c>
      <c r="D34" s="259"/>
      <c r="E34" s="258">
        <v>0</v>
      </c>
      <c r="F34" s="303">
        <f t="shared" si="2"/>
        <v>0</v>
      </c>
      <c r="G34" s="304">
        <v>0</v>
      </c>
      <c r="H34" s="304">
        <v>0</v>
      </c>
      <c r="I34" s="304">
        <v>0</v>
      </c>
      <c r="J34" s="304">
        <v>0</v>
      </c>
      <c r="K34" s="304"/>
      <c r="L34" s="304">
        <v>0</v>
      </c>
      <c r="M34" s="305">
        <v>0</v>
      </c>
      <c r="N34" s="318"/>
    </row>
    <row r="35" spans="1:14">
      <c r="A35" s="259" t="s">
        <v>245</v>
      </c>
      <c r="B35" s="36"/>
      <c r="C35" s="44">
        <v>255</v>
      </c>
      <c r="D35" s="259"/>
      <c r="E35" s="258">
        <v>0</v>
      </c>
      <c r="F35" s="303">
        <f t="shared" si="2"/>
        <v>0</v>
      </c>
      <c r="G35" s="304">
        <v>0</v>
      </c>
      <c r="H35" s="304">
        <v>0</v>
      </c>
      <c r="I35" s="304">
        <v>0</v>
      </c>
      <c r="J35" s="304">
        <v>0</v>
      </c>
      <c r="K35" s="304"/>
      <c r="L35" s="304">
        <v>0</v>
      </c>
      <c r="M35" s="305">
        <v>0</v>
      </c>
      <c r="N35" s="318"/>
    </row>
    <row r="36" spans="1:14">
      <c r="A36" s="259" t="s">
        <v>246</v>
      </c>
      <c r="B36" s="36"/>
      <c r="C36" s="44">
        <v>256</v>
      </c>
      <c r="D36" s="259"/>
      <c r="E36" s="258">
        <v>0</v>
      </c>
      <c r="F36" s="303">
        <f t="shared" si="2"/>
        <v>0</v>
      </c>
      <c r="G36" s="304">
        <v>0</v>
      </c>
      <c r="H36" s="304">
        <v>0</v>
      </c>
      <c r="I36" s="304">
        <v>0</v>
      </c>
      <c r="J36" s="304">
        <v>0</v>
      </c>
      <c r="K36" s="304"/>
      <c r="L36" s="304">
        <v>0</v>
      </c>
      <c r="M36" s="305">
        <v>0</v>
      </c>
      <c r="N36" s="318"/>
    </row>
    <row r="37" spans="1:14">
      <c r="A37" s="259" t="s">
        <v>247</v>
      </c>
      <c r="B37" s="36"/>
      <c r="C37" s="44">
        <v>257</v>
      </c>
      <c r="D37" s="259"/>
      <c r="E37" s="258">
        <v>0</v>
      </c>
      <c r="F37" s="303">
        <f t="shared" si="2"/>
        <v>0</v>
      </c>
      <c r="G37" s="304">
        <v>0</v>
      </c>
      <c r="H37" s="304">
        <v>0</v>
      </c>
      <c r="I37" s="304">
        <v>0</v>
      </c>
      <c r="J37" s="304">
        <v>0</v>
      </c>
      <c r="K37" s="304"/>
      <c r="L37" s="304">
        <v>0</v>
      </c>
      <c r="M37" s="305">
        <v>0</v>
      </c>
      <c r="N37" s="318"/>
    </row>
    <row r="38" spans="1:14">
      <c r="A38" s="259" t="s">
        <v>248</v>
      </c>
      <c r="B38" s="36"/>
      <c r="C38" s="44" t="s">
        <v>249</v>
      </c>
      <c r="D38" s="259"/>
      <c r="E38" s="258">
        <v>1</v>
      </c>
      <c r="F38" s="303">
        <f t="shared" si="2"/>
        <v>1</v>
      </c>
      <c r="G38" s="304">
        <v>0</v>
      </c>
      <c r="H38" s="304">
        <v>0</v>
      </c>
      <c r="I38" s="304">
        <v>0</v>
      </c>
      <c r="J38" s="304">
        <v>0</v>
      </c>
      <c r="K38" s="304">
        <v>1</v>
      </c>
      <c r="L38" s="304">
        <v>0</v>
      </c>
      <c r="M38" s="305">
        <v>0</v>
      </c>
      <c r="N38" s="318"/>
    </row>
    <row r="39" spans="1:14" s="370" customFormat="1">
      <c r="A39" s="260" t="s">
        <v>250</v>
      </c>
      <c r="B39" s="36"/>
      <c r="C39" s="261" t="s">
        <v>251</v>
      </c>
      <c r="D39" s="260"/>
      <c r="E39" s="258">
        <v>0</v>
      </c>
      <c r="F39" s="303">
        <f>SUM(G39:M39)</f>
        <v>0</v>
      </c>
      <c r="G39" s="304">
        <v>0</v>
      </c>
      <c r="H39" s="304">
        <v>0</v>
      </c>
      <c r="I39" s="304">
        <v>0</v>
      </c>
      <c r="J39" s="304">
        <v>0</v>
      </c>
      <c r="K39" s="304">
        <v>0</v>
      </c>
      <c r="L39" s="304">
        <v>0</v>
      </c>
      <c r="M39" s="305">
        <v>0</v>
      </c>
      <c r="N39" s="318"/>
    </row>
    <row r="40" spans="1:14" s="370" customFormat="1" ht="29">
      <c r="A40" s="260" t="s">
        <v>252</v>
      </c>
      <c r="B40" s="378"/>
      <c r="C40" s="261" t="s">
        <v>253</v>
      </c>
      <c r="D40" s="260"/>
      <c r="E40" s="311">
        <v>-756</v>
      </c>
      <c r="F40" s="303">
        <f t="shared" ref="F40" si="3">SUM(G40:M40)</f>
        <v>0</v>
      </c>
      <c r="G40" s="163">
        <v>0</v>
      </c>
      <c r="H40" s="163">
        <v>0</v>
      </c>
      <c r="I40" s="163">
        <v>0</v>
      </c>
      <c r="J40" s="163">
        <v>0</v>
      </c>
      <c r="K40" s="163">
        <v>0</v>
      </c>
      <c r="L40" s="163">
        <v>0</v>
      </c>
      <c r="M40" s="164">
        <v>0</v>
      </c>
      <c r="N40" s="318" t="s">
        <v>1059</v>
      </c>
    </row>
    <row r="41" spans="1:14" s="370" customFormat="1">
      <c r="A41" s="601" t="s">
        <v>592</v>
      </c>
      <c r="B41" s="628"/>
      <c r="C41" s="621" t="s">
        <v>253</v>
      </c>
      <c r="D41" s="601"/>
      <c r="E41" s="311">
        <v>0</v>
      </c>
      <c r="F41" s="303">
        <f>SUM(G41:M41)</f>
        <v>0</v>
      </c>
      <c r="G41" s="163">
        <v>0</v>
      </c>
      <c r="H41" s="163">
        <v>0</v>
      </c>
      <c r="I41" s="163">
        <v>0</v>
      </c>
      <c r="J41" s="163">
        <v>0</v>
      </c>
      <c r="K41" s="163">
        <f>-970+970</f>
        <v>0</v>
      </c>
      <c r="L41" s="163">
        <v>0</v>
      </c>
      <c r="M41" s="164">
        <v>0</v>
      </c>
      <c r="N41" s="602"/>
    </row>
    <row r="42" spans="1:14">
      <c r="A42" s="40" t="s">
        <v>254</v>
      </c>
      <c r="B42" s="260"/>
      <c r="C42" s="261"/>
      <c r="D42" s="262"/>
      <c r="E42" s="42">
        <f t="shared" ref="E42:M42" si="4">SUM(E18:E41)</f>
        <v>2867</v>
      </c>
      <c r="F42" s="43">
        <f t="shared" si="4"/>
        <v>2578</v>
      </c>
      <c r="G42" s="43">
        <f t="shared" si="4"/>
        <v>0</v>
      </c>
      <c r="H42" s="43">
        <f t="shared" si="4"/>
        <v>0</v>
      </c>
      <c r="I42" s="43">
        <f t="shared" si="4"/>
        <v>0</v>
      </c>
      <c r="J42" s="43">
        <f t="shared" si="4"/>
        <v>0</v>
      </c>
      <c r="K42" s="43">
        <f t="shared" si="4"/>
        <v>2268</v>
      </c>
      <c r="L42" s="43">
        <f t="shared" si="4"/>
        <v>310</v>
      </c>
      <c r="M42" s="43">
        <f t="shared" si="4"/>
        <v>0</v>
      </c>
      <c r="N42" s="318"/>
    </row>
    <row r="43" spans="1:14">
      <c r="A43" s="40" t="s">
        <v>255</v>
      </c>
      <c r="B43" s="51"/>
      <c r="C43" s="147"/>
      <c r="D43" s="262"/>
      <c r="E43" s="236">
        <v>0</v>
      </c>
      <c r="F43" s="235">
        <f>SUM(G43:L43)</f>
        <v>407</v>
      </c>
      <c r="G43" s="235"/>
      <c r="H43" s="235">
        <v>0</v>
      </c>
      <c r="I43" s="235"/>
      <c r="J43" s="235"/>
      <c r="K43" s="235"/>
      <c r="L43" s="235">
        <v>407</v>
      </c>
      <c r="M43" s="235"/>
      <c r="N43" s="600"/>
    </row>
    <row r="44" spans="1:14">
      <c r="A44" s="40" t="s">
        <v>256</v>
      </c>
      <c r="B44" s="46"/>
      <c r="C44" s="47"/>
      <c r="D44" s="845">
        <f>D42+D16+D11</f>
        <v>1.33</v>
      </c>
      <c r="E44" s="43">
        <f t="shared" ref="E44:M44" si="5">E42+E16+E11-E43</f>
        <v>3902</v>
      </c>
      <c r="F44" s="43">
        <f t="shared" si="5"/>
        <v>3308</v>
      </c>
      <c r="G44" s="43">
        <f t="shared" si="5"/>
        <v>0</v>
      </c>
      <c r="H44" s="43">
        <f t="shared" si="5"/>
        <v>0</v>
      </c>
      <c r="I44" s="43">
        <f t="shared" si="5"/>
        <v>0</v>
      </c>
      <c r="J44" s="43">
        <f t="shared" si="5"/>
        <v>0</v>
      </c>
      <c r="K44" s="43">
        <f t="shared" si="5"/>
        <v>3235</v>
      </c>
      <c r="L44" s="43">
        <f t="shared" si="5"/>
        <v>73</v>
      </c>
      <c r="M44" s="43">
        <f t="shared" si="5"/>
        <v>0</v>
      </c>
      <c r="N44" s="160"/>
    </row>
    <row r="45" spans="1:14">
      <c r="A45" s="370"/>
      <c r="B45" s="214" t="s">
        <v>478</v>
      </c>
      <c r="C45" s="53"/>
      <c r="D45" s="53"/>
      <c r="E45" s="243">
        <f>E44-C48</f>
        <v>2966</v>
      </c>
      <c r="F45" s="243">
        <f>F44-B48</f>
        <v>1616</v>
      </c>
      <c r="G45" s="370"/>
      <c r="H45" s="370"/>
      <c r="I45" s="370"/>
      <c r="J45" s="370"/>
      <c r="K45" s="370"/>
      <c r="L45" s="370"/>
      <c r="M45" s="370"/>
      <c r="N45" s="308"/>
    </row>
    <row r="46" spans="1:14" ht="28.25" customHeight="1">
      <c r="A46" s="370"/>
      <c r="B46" s="370"/>
      <c r="C46" s="370"/>
      <c r="D46" s="370"/>
      <c r="E46" s="370"/>
      <c r="F46" s="370"/>
      <c r="G46" s="644"/>
      <c r="H46" s="370"/>
      <c r="I46" s="370"/>
      <c r="J46" s="370"/>
      <c r="K46" s="370"/>
      <c r="L46" s="370"/>
      <c r="M46" s="370"/>
      <c r="N46" s="309"/>
    </row>
    <row r="47" spans="1:14">
      <c r="A47" s="56" t="s">
        <v>300</v>
      </c>
      <c r="B47" s="31">
        <v>2024</v>
      </c>
      <c r="C47" s="31">
        <v>2023</v>
      </c>
      <c r="D47" s="31"/>
      <c r="E47" s="31"/>
      <c r="F47" s="440"/>
      <c r="G47" s="31"/>
      <c r="H47" s="31"/>
      <c r="I47" s="31"/>
      <c r="J47" s="31"/>
      <c r="K47" s="31"/>
      <c r="L47" s="31"/>
      <c r="M47" s="31"/>
      <c r="N47" s="309"/>
    </row>
    <row r="48" spans="1:14" ht="43.5" customHeight="1">
      <c r="A48" s="57" t="s">
        <v>301</v>
      </c>
      <c r="B48" s="58">
        <v>1692</v>
      </c>
      <c r="C48" s="58">
        <v>936</v>
      </c>
      <c r="D48" s="1014" t="s">
        <v>1277</v>
      </c>
      <c r="E48" s="1015"/>
      <c r="F48" s="1015"/>
      <c r="G48" s="1015"/>
      <c r="H48" s="1015"/>
      <c r="I48" s="1015"/>
      <c r="J48" s="1015"/>
      <c r="K48" s="1015"/>
      <c r="L48" s="1015"/>
      <c r="M48" s="1015"/>
      <c r="N48" s="1015"/>
    </row>
    <row r="49" spans="1:19">
      <c r="A49" s="259" t="s">
        <v>302</v>
      </c>
      <c r="B49" s="59">
        <v>0</v>
      </c>
      <c r="C49" s="59">
        <v>0</v>
      </c>
      <c r="D49" s="1016" t="s">
        <v>795</v>
      </c>
      <c r="E49" s="1017"/>
      <c r="F49" s="1017"/>
      <c r="G49" s="1017"/>
      <c r="H49" s="1017"/>
      <c r="I49" s="1017"/>
      <c r="J49" s="1017"/>
      <c r="K49" s="1017"/>
      <c r="L49" s="1017"/>
      <c r="M49" s="1017"/>
      <c r="N49" s="1017"/>
    </row>
    <row r="50" spans="1:19" ht="29" customHeight="1">
      <c r="A50" s="60" t="s">
        <v>495</v>
      </c>
      <c r="B50" s="61">
        <f>B48-B49</f>
        <v>1692</v>
      </c>
      <c r="C50" s="61">
        <f>C48-C49</f>
        <v>936</v>
      </c>
      <c r="D50" s="1018" t="s">
        <v>1060</v>
      </c>
      <c r="E50" s="1019"/>
      <c r="F50" s="1019"/>
      <c r="G50" s="1019"/>
      <c r="H50" s="1019"/>
      <c r="I50" s="1019"/>
      <c r="J50" s="1019"/>
      <c r="K50" s="1019"/>
      <c r="L50" s="1019"/>
      <c r="M50" s="1019"/>
      <c r="N50" s="1019"/>
      <c r="O50" s="307"/>
      <c r="P50" s="307"/>
      <c r="Q50" s="307"/>
      <c r="R50" s="307"/>
      <c r="S50" s="307"/>
    </row>
    <row r="51" spans="1:19">
      <c r="A51" s="908" t="s">
        <v>593</v>
      </c>
      <c r="B51" s="908"/>
      <c r="C51" s="908"/>
      <c r="D51" s="307"/>
      <c r="E51" s="307"/>
      <c r="F51" s="307"/>
      <c r="G51" s="307"/>
      <c r="H51" s="307"/>
      <c r="I51" s="307"/>
      <c r="J51" s="307"/>
      <c r="K51" s="307"/>
      <c r="L51" s="307"/>
      <c r="M51" s="307"/>
      <c r="N51" s="307"/>
      <c r="O51" s="370"/>
      <c r="P51" s="370"/>
      <c r="Q51" s="370"/>
      <c r="R51" s="370"/>
      <c r="S51" s="370"/>
    </row>
    <row r="54" spans="1:19" s="370" customFormat="1" ht="15" thickBot="1">
      <c r="A54" s="31"/>
      <c r="B54" s="31"/>
      <c r="C54" s="32"/>
      <c r="D54" s="31"/>
      <c r="E54" s="31"/>
      <c r="F54" s="31"/>
      <c r="G54" s="31"/>
      <c r="H54" s="31"/>
      <c r="I54" s="31"/>
      <c r="J54" s="31"/>
      <c r="K54" s="31"/>
      <c r="L54" s="31"/>
      <c r="M54" s="31"/>
      <c r="N54" s="536"/>
    </row>
    <row r="55" spans="1:19" s="370" customFormat="1" ht="15.5">
      <c r="A55" s="873" t="s">
        <v>257</v>
      </c>
      <c r="B55" s="874"/>
      <c r="C55" s="874"/>
      <c r="D55" s="874"/>
      <c r="E55" s="874"/>
      <c r="F55" s="874"/>
      <c r="G55" s="550"/>
      <c r="H55" s="31"/>
      <c r="I55" s="31"/>
      <c r="J55" s="31"/>
      <c r="K55" s="31"/>
      <c r="L55" s="31"/>
      <c r="M55" s="31"/>
      <c r="N55" s="536"/>
    </row>
    <row r="56" spans="1:19" s="370" customFormat="1" ht="15.5">
      <c r="A56" s="875"/>
      <c r="B56" s="876"/>
      <c r="C56" s="876"/>
      <c r="D56" s="876"/>
      <c r="E56" s="876"/>
      <c r="F56" s="876"/>
      <c r="G56" s="551"/>
      <c r="H56" s="31"/>
      <c r="I56" s="31"/>
      <c r="J56" s="31"/>
      <c r="K56" s="31"/>
      <c r="L56" s="31"/>
      <c r="M56" s="31"/>
      <c r="N56" s="536"/>
    </row>
    <row r="57" spans="1:19" s="370" customFormat="1">
      <c r="A57" s="877" t="s">
        <v>258</v>
      </c>
      <c r="B57" s="878"/>
      <c r="C57" s="552"/>
      <c r="D57" s="552"/>
      <c r="E57" s="552"/>
      <c r="F57" s="552"/>
      <c r="G57" s="551"/>
      <c r="H57" s="31"/>
      <c r="I57" s="31"/>
      <c r="J57" s="31"/>
      <c r="K57" s="31"/>
      <c r="L57" s="31"/>
      <c r="M57" s="31"/>
      <c r="N57" s="536"/>
    </row>
    <row r="58" spans="1:19" s="370" customFormat="1">
      <c r="A58" s="553" t="s">
        <v>1009</v>
      </c>
      <c r="B58" s="554">
        <f>E44</f>
        <v>3902</v>
      </c>
      <c r="C58" s="555"/>
      <c r="D58" s="556"/>
      <c r="E58" s="556"/>
      <c r="F58" s="556"/>
      <c r="G58" s="551"/>
      <c r="H58" s="31"/>
      <c r="I58" s="31"/>
      <c r="J58" s="31"/>
      <c r="K58" s="31"/>
      <c r="L58" s="31"/>
      <c r="M58" s="31"/>
      <c r="N58" s="536"/>
    </row>
    <row r="59" spans="1:19" s="370" customFormat="1">
      <c r="A59" s="557" t="s">
        <v>1029</v>
      </c>
      <c r="B59" s="560">
        <f>F44</f>
        <v>3308</v>
      </c>
      <c r="C59" s="555" t="s">
        <v>796</v>
      </c>
      <c r="D59" s="556"/>
      <c r="E59" s="556"/>
      <c r="F59" s="556"/>
      <c r="G59" s="551"/>
      <c r="H59" s="31"/>
      <c r="I59" s="31"/>
      <c r="J59" s="31"/>
      <c r="K59" s="31"/>
      <c r="L59" s="31"/>
      <c r="M59" s="31"/>
      <c r="N59" s="536"/>
    </row>
    <row r="60" spans="1:19" s="370" customFormat="1">
      <c r="A60" s="559" t="s">
        <v>259</v>
      </c>
      <c r="B60" s="560">
        <f>B59-B58</f>
        <v>-594</v>
      </c>
      <c r="C60" s="555"/>
      <c r="D60" s="556"/>
      <c r="E60" s="556"/>
      <c r="F60" s="556"/>
      <c r="G60" s="551"/>
      <c r="H60" s="31"/>
      <c r="I60" s="31"/>
      <c r="J60" s="31"/>
      <c r="K60" s="31"/>
      <c r="L60" s="31"/>
      <c r="M60" s="31"/>
      <c r="N60" s="536"/>
    </row>
    <row r="61" spans="1:19" s="370" customFormat="1">
      <c r="A61" s="559" t="s">
        <v>260</v>
      </c>
      <c r="B61" s="561">
        <f>B60/B58</f>
        <v>-0.1522296258329062</v>
      </c>
      <c r="C61" s="555" t="s">
        <v>1061</v>
      </c>
      <c r="D61" s="556"/>
      <c r="E61" s="556"/>
      <c r="F61" s="556"/>
      <c r="G61" s="551"/>
      <c r="H61" s="31"/>
      <c r="I61" s="31"/>
      <c r="J61" s="31"/>
      <c r="K61" s="31"/>
      <c r="L61" s="31"/>
      <c r="M61" s="31"/>
      <c r="N61" s="536"/>
    </row>
    <row r="62" spans="1:19" s="370" customFormat="1">
      <c r="A62" s="562"/>
      <c r="B62" s="556"/>
      <c r="C62" s="660"/>
      <c r="D62" s="556"/>
      <c r="E62" s="556"/>
      <c r="F62" s="556"/>
      <c r="G62" s="551"/>
      <c r="H62" s="31"/>
      <c r="I62" s="31"/>
      <c r="J62" s="31"/>
      <c r="K62" s="31"/>
      <c r="L62" s="31"/>
      <c r="M62" s="31"/>
      <c r="N62" s="536"/>
    </row>
    <row r="63" spans="1:19" s="29" customFormat="1">
      <c r="A63" s="936" t="s">
        <v>261</v>
      </c>
      <c r="B63" s="937"/>
      <c r="C63" s="937"/>
      <c r="D63" s="937"/>
      <c r="E63" s="937"/>
      <c r="F63" s="937"/>
      <c r="G63" s="733"/>
      <c r="H63" s="737"/>
      <c r="I63" s="737"/>
      <c r="J63" s="737"/>
      <c r="K63" s="737"/>
      <c r="L63" s="737"/>
      <c r="M63" s="737"/>
      <c r="N63" s="745"/>
    </row>
    <row r="64" spans="1:19" s="29" customFormat="1" ht="202" customHeight="1">
      <c r="A64" s="881" t="s">
        <v>901</v>
      </c>
      <c r="B64" s="882"/>
      <c r="C64" s="882"/>
      <c r="D64" s="882"/>
      <c r="E64" s="882"/>
      <c r="F64" s="883"/>
      <c r="G64" s="733"/>
      <c r="H64" s="737"/>
      <c r="I64" s="737"/>
      <c r="J64" s="737"/>
      <c r="K64" s="737"/>
      <c r="L64" s="737"/>
      <c r="M64" s="737"/>
      <c r="N64" s="745"/>
    </row>
    <row r="65" spans="1:14" s="29" customFormat="1">
      <c r="A65" s="734"/>
      <c r="B65" s="735"/>
      <c r="C65" s="735"/>
      <c r="D65" s="735"/>
      <c r="E65" s="735"/>
      <c r="F65" s="735"/>
      <c r="G65" s="733"/>
      <c r="H65" s="737"/>
      <c r="I65" s="737"/>
      <c r="J65" s="737"/>
      <c r="K65" s="737"/>
      <c r="L65" s="737"/>
      <c r="M65" s="737"/>
      <c r="N65" s="745"/>
    </row>
    <row r="66" spans="1:14" s="29" customFormat="1">
      <c r="A66" s="736" t="s">
        <v>262</v>
      </c>
      <c r="B66" s="737"/>
      <c r="C66" s="738"/>
      <c r="D66" s="737"/>
      <c r="E66" s="737"/>
      <c r="F66" s="737"/>
      <c r="G66" s="733"/>
      <c r="H66" s="737"/>
      <c r="I66" s="737"/>
      <c r="J66" s="737"/>
      <c r="K66" s="737"/>
      <c r="L66" s="737"/>
      <c r="M66" s="737"/>
      <c r="N66" s="745"/>
    </row>
    <row r="67" spans="1:14" s="29" customFormat="1" ht="279" customHeight="1">
      <c r="A67" s="938" t="s">
        <v>1062</v>
      </c>
      <c r="B67" s="939"/>
      <c r="C67" s="939"/>
      <c r="D67" s="939"/>
      <c r="E67" s="939"/>
      <c r="F67" s="940"/>
      <c r="G67" s="733"/>
      <c r="H67" s="737"/>
      <c r="I67" s="737"/>
      <c r="J67" s="737"/>
      <c r="K67" s="737"/>
      <c r="L67" s="737"/>
      <c r="M67" s="737"/>
      <c r="N67" s="745"/>
    </row>
    <row r="68" spans="1:14" s="29" customFormat="1">
      <c r="A68" s="739"/>
      <c r="B68" s="737"/>
      <c r="C68" s="738"/>
      <c r="D68" s="737"/>
      <c r="E68" s="737"/>
      <c r="F68" s="737"/>
      <c r="G68" s="733"/>
      <c r="H68" s="737"/>
      <c r="I68" s="737"/>
      <c r="J68" s="737"/>
      <c r="K68" s="737"/>
      <c r="L68" s="737"/>
      <c r="M68" s="737"/>
      <c r="N68" s="745"/>
    </row>
    <row r="69" spans="1:14" s="29" customFormat="1">
      <c r="A69" s="936" t="s">
        <v>1020</v>
      </c>
      <c r="B69" s="937"/>
      <c r="C69" s="937"/>
      <c r="D69" s="937"/>
      <c r="E69" s="937"/>
      <c r="F69" s="937"/>
      <c r="G69" s="733"/>
      <c r="H69" s="737"/>
      <c r="I69" s="737"/>
      <c r="J69" s="737"/>
      <c r="K69" s="737"/>
      <c r="L69" s="737"/>
      <c r="M69" s="737"/>
      <c r="N69" s="745"/>
    </row>
    <row r="70" spans="1:14" s="29" customFormat="1">
      <c r="A70" s="941" t="s">
        <v>1021</v>
      </c>
      <c r="B70" s="942"/>
      <c r="C70" s="942"/>
      <c r="D70" s="942"/>
      <c r="E70" s="942"/>
      <c r="F70" s="942"/>
      <c r="G70" s="733"/>
      <c r="H70" s="737"/>
      <c r="I70" s="737"/>
      <c r="J70" s="737"/>
      <c r="K70" s="737"/>
      <c r="L70" s="737"/>
      <c r="M70" s="737"/>
      <c r="N70" s="745"/>
    </row>
    <row r="71" spans="1:14" s="29" customFormat="1" ht="284.5" customHeight="1">
      <c r="A71" s="938" t="s">
        <v>1063</v>
      </c>
      <c r="B71" s="991"/>
      <c r="C71" s="991"/>
      <c r="D71" s="991"/>
      <c r="E71" s="991"/>
      <c r="F71" s="992"/>
      <c r="G71" s="733"/>
      <c r="H71" s="737"/>
      <c r="I71" s="737"/>
      <c r="J71" s="737"/>
      <c r="K71" s="737"/>
      <c r="L71" s="737"/>
      <c r="M71" s="737"/>
      <c r="N71" s="745"/>
    </row>
    <row r="72" spans="1:14" s="29" customFormat="1">
      <c r="A72" s="736"/>
      <c r="B72" s="737"/>
      <c r="C72" s="738"/>
      <c r="D72" s="737"/>
      <c r="E72" s="737"/>
      <c r="F72" s="737"/>
      <c r="G72" s="733"/>
      <c r="H72" s="737"/>
      <c r="I72" s="737"/>
      <c r="J72" s="737"/>
      <c r="K72" s="737"/>
      <c r="L72" s="737"/>
      <c r="M72" s="737"/>
      <c r="N72" s="745"/>
    </row>
    <row r="73" spans="1:14" s="29" customFormat="1">
      <c r="A73" s="936" t="s">
        <v>264</v>
      </c>
      <c r="B73" s="937"/>
      <c r="C73" s="937"/>
      <c r="D73" s="937"/>
      <c r="E73" s="937"/>
      <c r="F73" s="737"/>
      <c r="G73" s="733"/>
      <c r="H73" s="737"/>
      <c r="I73" s="737"/>
      <c r="J73" s="737"/>
      <c r="K73" s="737"/>
      <c r="L73" s="737"/>
      <c r="M73" s="737"/>
      <c r="N73" s="745"/>
    </row>
    <row r="74" spans="1:14" s="29" customFormat="1" ht="82.5" customHeight="1">
      <c r="A74" s="943" t="s">
        <v>594</v>
      </c>
      <c r="B74" s="946"/>
      <c r="C74" s="946"/>
      <c r="D74" s="946"/>
      <c r="E74" s="946"/>
      <c r="F74" s="947"/>
      <c r="G74" s="733"/>
      <c r="H74" s="737"/>
      <c r="I74" s="737"/>
      <c r="J74" s="737"/>
      <c r="K74" s="737"/>
      <c r="L74" s="737"/>
      <c r="M74" s="737"/>
      <c r="N74" s="745"/>
    </row>
    <row r="75" spans="1:14" s="29" customFormat="1">
      <c r="A75" s="739"/>
      <c r="B75" s="737"/>
      <c r="C75" s="738"/>
      <c r="D75" s="737"/>
      <c r="E75" s="737"/>
      <c r="F75" s="737"/>
      <c r="G75" s="733"/>
      <c r="H75" s="737"/>
      <c r="I75" s="737"/>
      <c r="J75" s="737"/>
      <c r="K75" s="737"/>
      <c r="L75" s="737"/>
      <c r="M75" s="737"/>
      <c r="N75" s="745"/>
    </row>
    <row r="76" spans="1:14" s="29" customFormat="1">
      <c r="A76" s="736" t="s">
        <v>265</v>
      </c>
      <c r="B76" s="737"/>
      <c r="C76" s="738"/>
      <c r="D76" s="737"/>
      <c r="E76" s="737"/>
      <c r="F76" s="737"/>
      <c r="G76" s="733"/>
      <c r="H76" s="737"/>
      <c r="I76" s="737"/>
      <c r="J76" s="737"/>
      <c r="K76" s="737"/>
      <c r="L76" s="737"/>
      <c r="M76" s="737"/>
      <c r="N76" s="745"/>
    </row>
    <row r="77" spans="1:14" s="29" customFormat="1">
      <c r="A77" s="740" t="s">
        <v>266</v>
      </c>
      <c r="B77" s="737"/>
      <c r="C77" s="738"/>
      <c r="D77" s="737"/>
      <c r="E77" s="737"/>
      <c r="F77" s="737"/>
      <c r="G77" s="733"/>
      <c r="H77" s="737"/>
      <c r="I77" s="737"/>
      <c r="J77" s="737"/>
      <c r="K77" s="737"/>
      <c r="L77" s="737"/>
      <c r="M77" s="737"/>
      <c r="N77" s="745"/>
    </row>
    <row r="78" spans="1:14" s="29" customFormat="1" ht="26.25" customHeight="1">
      <c r="A78" s="948" t="s">
        <v>1030</v>
      </c>
      <c r="B78" s="949"/>
      <c r="C78" s="949"/>
      <c r="D78" s="949"/>
      <c r="E78" s="949"/>
      <c r="F78" s="949"/>
      <c r="G78" s="733"/>
      <c r="H78" s="737"/>
      <c r="I78" s="737"/>
      <c r="J78" s="737"/>
      <c r="K78" s="737"/>
      <c r="L78" s="737"/>
      <c r="M78" s="737"/>
      <c r="N78" s="745"/>
    </row>
    <row r="79" spans="1:14" s="29" customFormat="1" ht="98" customHeight="1">
      <c r="A79" s="938" t="s">
        <v>902</v>
      </c>
      <c r="B79" s="1020"/>
      <c r="C79" s="1020"/>
      <c r="D79" s="1020"/>
      <c r="E79" s="1020"/>
      <c r="F79" s="1021"/>
      <c r="G79" s="733"/>
      <c r="H79" s="737"/>
      <c r="I79" s="737"/>
      <c r="J79" s="737"/>
      <c r="K79" s="737"/>
      <c r="L79" s="737"/>
      <c r="M79" s="737"/>
      <c r="N79" s="745"/>
    </row>
    <row r="80" spans="1:14" s="29" customFormat="1">
      <c r="A80" s="950"/>
      <c r="B80" s="951"/>
      <c r="C80" s="951"/>
      <c r="D80" s="951"/>
      <c r="E80" s="951"/>
      <c r="F80" s="951"/>
      <c r="G80" s="733"/>
      <c r="H80" s="737"/>
      <c r="I80" s="737"/>
      <c r="J80" s="737"/>
      <c r="K80" s="737"/>
      <c r="L80" s="737"/>
      <c r="M80" s="737"/>
      <c r="N80" s="745"/>
    </row>
    <row r="81" spans="1:14" s="29" customFormat="1">
      <c r="A81" s="740" t="s">
        <v>268</v>
      </c>
      <c r="B81" s="737"/>
      <c r="C81" s="738"/>
      <c r="D81" s="737"/>
      <c r="E81" s="737"/>
      <c r="F81" s="737"/>
      <c r="G81" s="733"/>
      <c r="H81" s="737"/>
      <c r="I81" s="737"/>
      <c r="J81" s="737"/>
      <c r="K81" s="737"/>
      <c r="L81" s="737"/>
      <c r="M81" s="737"/>
      <c r="N81" s="745"/>
    </row>
    <row r="82" spans="1:14" s="29" customFormat="1" ht="41.5" customHeight="1">
      <c r="A82" s="948" t="s">
        <v>269</v>
      </c>
      <c r="B82" s="949"/>
      <c r="C82" s="949"/>
      <c r="D82" s="949"/>
      <c r="E82" s="949"/>
      <c r="F82" s="949"/>
      <c r="G82" s="733"/>
      <c r="H82" s="737"/>
      <c r="I82" s="737"/>
      <c r="J82" s="737"/>
      <c r="K82" s="737"/>
      <c r="L82" s="737"/>
      <c r="M82" s="737"/>
      <c r="N82" s="745"/>
    </row>
    <row r="83" spans="1:14" s="29" customFormat="1" ht="283.5" customHeight="1">
      <c r="A83" s="943" t="s">
        <v>903</v>
      </c>
      <c r="B83" s="944"/>
      <c r="C83" s="944"/>
      <c r="D83" s="944"/>
      <c r="E83" s="944"/>
      <c r="F83" s="945"/>
      <c r="G83" s="733"/>
      <c r="H83" s="737"/>
      <c r="I83" s="737"/>
      <c r="J83" s="737"/>
      <c r="K83" s="737"/>
      <c r="L83" s="737"/>
      <c r="M83" s="737"/>
      <c r="N83" s="745"/>
    </row>
    <row r="84" spans="1:14" s="29" customFormat="1" ht="15" thickBot="1">
      <c r="A84" s="741"/>
      <c r="B84" s="742"/>
      <c r="C84" s="743"/>
      <c r="D84" s="742"/>
      <c r="E84" s="742"/>
      <c r="F84" s="742"/>
      <c r="G84" s="744"/>
      <c r="H84" s="737"/>
      <c r="I84" s="737"/>
      <c r="J84" s="737"/>
      <c r="K84" s="737"/>
      <c r="L84" s="737"/>
      <c r="M84" s="737"/>
      <c r="N84" s="745"/>
    </row>
    <row r="85" spans="1:14" s="29" customFormat="1">
      <c r="A85" s="737"/>
      <c r="B85" s="737"/>
      <c r="C85" s="738"/>
      <c r="D85" s="737"/>
      <c r="E85" s="737"/>
      <c r="F85" s="737"/>
      <c r="G85" s="737"/>
      <c r="H85" s="737"/>
      <c r="I85" s="737"/>
      <c r="J85" s="737"/>
      <c r="K85" s="737"/>
      <c r="L85" s="737"/>
      <c r="M85" s="737"/>
      <c r="N85" s="745"/>
    </row>
    <row r="86" spans="1:14" s="29" customFormat="1">
      <c r="A86" s="737"/>
      <c r="B86" s="737"/>
      <c r="C86" s="738"/>
      <c r="D86" s="737"/>
      <c r="E86" s="737"/>
      <c r="F86" s="737"/>
      <c r="G86" s="737"/>
      <c r="H86" s="737"/>
      <c r="I86" s="737"/>
      <c r="J86" s="737"/>
      <c r="K86" s="737"/>
      <c r="L86" s="737"/>
      <c r="M86" s="737"/>
      <c r="N86" s="745"/>
    </row>
    <row r="87" spans="1:14" s="29" customFormat="1">
      <c r="A87" s="737"/>
      <c r="B87" s="737"/>
      <c r="C87" s="738"/>
      <c r="D87" s="737"/>
      <c r="E87" s="737"/>
      <c r="F87" s="737"/>
      <c r="G87" s="737"/>
      <c r="H87" s="737"/>
      <c r="I87" s="737"/>
      <c r="J87" s="737"/>
      <c r="K87" s="737"/>
      <c r="L87" s="737"/>
      <c r="M87" s="737"/>
      <c r="N87" s="745"/>
    </row>
    <row r="88" spans="1:14" s="29" customFormat="1">
      <c r="A88" s="737"/>
      <c r="B88" s="737"/>
      <c r="C88" s="738"/>
      <c r="D88" s="737"/>
      <c r="E88" s="737"/>
      <c r="F88" s="737"/>
      <c r="G88" s="737"/>
      <c r="H88" s="737"/>
      <c r="I88" s="737"/>
      <c r="J88" s="737"/>
      <c r="K88" s="737"/>
      <c r="L88" s="737"/>
      <c r="M88" s="737"/>
      <c r="N88" s="745"/>
    </row>
    <row r="89" spans="1:14" s="29" customFormat="1">
      <c r="A89" s="737"/>
      <c r="B89" s="737"/>
      <c r="C89" s="738"/>
      <c r="D89" s="737"/>
      <c r="E89" s="737"/>
      <c r="F89" s="737"/>
      <c r="G89" s="737"/>
      <c r="H89" s="737"/>
      <c r="I89" s="737"/>
      <c r="J89" s="737"/>
      <c r="K89" s="737"/>
      <c r="L89" s="737"/>
      <c r="M89" s="737"/>
      <c r="N89" s="745"/>
    </row>
    <row r="90" spans="1:14" s="29" customFormat="1">
      <c r="A90" s="737"/>
      <c r="B90" s="737"/>
      <c r="C90" s="738"/>
      <c r="D90" s="737"/>
      <c r="E90" s="737"/>
      <c r="F90" s="737"/>
      <c r="G90" s="737"/>
      <c r="H90" s="737"/>
      <c r="I90" s="737"/>
      <c r="J90" s="737"/>
      <c r="K90" s="737"/>
      <c r="L90" s="737"/>
      <c r="M90" s="737"/>
      <c r="N90" s="745"/>
    </row>
    <row r="91" spans="1:14" s="29" customFormat="1">
      <c r="A91" s="737"/>
      <c r="B91" s="737"/>
      <c r="C91" s="738"/>
      <c r="D91" s="737"/>
      <c r="E91" s="737"/>
      <c r="F91" s="737"/>
      <c r="G91" s="737"/>
      <c r="H91" s="737"/>
      <c r="I91" s="737"/>
      <c r="J91" s="737"/>
      <c r="K91" s="737"/>
      <c r="L91" s="737"/>
      <c r="M91" s="737"/>
      <c r="N91" s="745"/>
    </row>
    <row r="92" spans="1:14" s="29" customFormat="1">
      <c r="A92" s="737"/>
      <c r="B92" s="737"/>
      <c r="C92" s="738"/>
      <c r="D92" s="737"/>
      <c r="E92" s="737"/>
      <c r="F92" s="737"/>
      <c r="G92" s="737"/>
      <c r="H92" s="737"/>
      <c r="I92" s="737"/>
      <c r="J92" s="737"/>
      <c r="K92" s="737"/>
      <c r="L92" s="737"/>
      <c r="M92" s="737"/>
      <c r="N92" s="745"/>
    </row>
    <row r="93" spans="1:14" s="29" customFormat="1">
      <c r="A93" s="737"/>
      <c r="B93" s="737"/>
      <c r="C93" s="738"/>
      <c r="D93" s="737"/>
      <c r="E93" s="737"/>
      <c r="F93" s="737"/>
      <c r="G93" s="737"/>
      <c r="H93" s="737"/>
      <c r="I93" s="737"/>
      <c r="J93" s="737"/>
      <c r="K93" s="737"/>
      <c r="L93" s="737"/>
      <c r="M93" s="737"/>
      <c r="N93" s="745"/>
    </row>
    <row r="94" spans="1:14" s="29" customFormat="1">
      <c r="A94" s="737"/>
      <c r="B94" s="737"/>
      <c r="C94" s="738"/>
      <c r="D94" s="737"/>
      <c r="E94" s="737"/>
      <c r="F94" s="737"/>
      <c r="G94" s="737"/>
      <c r="H94" s="737"/>
      <c r="I94" s="737"/>
      <c r="J94" s="737"/>
      <c r="K94" s="737"/>
      <c r="L94" s="737"/>
      <c r="M94" s="737"/>
      <c r="N94" s="745"/>
    </row>
    <row r="95" spans="1:14" s="29" customFormat="1">
      <c r="A95" s="737"/>
      <c r="B95" s="737"/>
      <c r="C95" s="738"/>
      <c r="D95" s="737"/>
      <c r="E95" s="737"/>
      <c r="F95" s="737"/>
      <c r="G95" s="737"/>
      <c r="H95" s="737"/>
      <c r="I95" s="737"/>
      <c r="J95" s="737"/>
      <c r="K95" s="737"/>
      <c r="L95" s="737"/>
      <c r="M95" s="737"/>
      <c r="N95" s="745"/>
    </row>
    <row r="96" spans="1:14" s="29" customFormat="1">
      <c r="A96" s="737"/>
      <c r="B96" s="737"/>
      <c r="C96" s="738"/>
      <c r="D96" s="737"/>
      <c r="E96" s="737"/>
      <c r="F96" s="737"/>
      <c r="G96" s="737"/>
      <c r="H96" s="737"/>
      <c r="I96" s="737"/>
      <c r="J96" s="737"/>
      <c r="K96" s="737"/>
      <c r="L96" s="737"/>
      <c r="M96" s="737"/>
      <c r="N96" s="745"/>
    </row>
    <row r="97" spans="1:14" s="29" customFormat="1">
      <c r="A97" s="737"/>
      <c r="B97" s="737"/>
      <c r="C97" s="738"/>
      <c r="D97" s="737"/>
      <c r="E97" s="737"/>
      <c r="F97" s="737"/>
      <c r="G97" s="737"/>
      <c r="H97" s="737"/>
      <c r="I97" s="737"/>
      <c r="J97" s="737"/>
      <c r="K97" s="737"/>
      <c r="L97" s="737"/>
      <c r="M97" s="737"/>
      <c r="N97" s="745"/>
    </row>
    <row r="98" spans="1:14" s="29" customFormat="1">
      <c r="A98" s="737"/>
      <c r="B98" s="737"/>
      <c r="C98" s="738"/>
      <c r="D98" s="737"/>
      <c r="E98" s="737"/>
      <c r="F98" s="737"/>
      <c r="G98" s="737"/>
      <c r="H98" s="737"/>
      <c r="I98" s="737"/>
      <c r="J98" s="737"/>
      <c r="K98" s="737"/>
      <c r="L98" s="737"/>
      <c r="M98" s="737"/>
      <c r="N98" s="745"/>
    </row>
    <row r="99" spans="1:14" s="370" customFormat="1">
      <c r="A99" s="31"/>
      <c r="B99" s="31"/>
      <c r="C99" s="32"/>
      <c r="D99" s="31"/>
      <c r="E99" s="31"/>
      <c r="F99" s="31"/>
      <c r="G99" s="31"/>
      <c r="H99" s="31"/>
      <c r="I99" s="31"/>
      <c r="J99" s="31"/>
      <c r="K99" s="31"/>
      <c r="L99" s="31"/>
      <c r="M99" s="31"/>
      <c r="N99" s="536"/>
    </row>
    <row r="100" spans="1:14" s="370" customFormat="1">
      <c r="A100" s="31"/>
      <c r="B100" s="31"/>
      <c r="C100" s="32"/>
      <c r="D100" s="31"/>
      <c r="E100" s="31"/>
      <c r="F100" s="31"/>
      <c r="G100" s="31"/>
      <c r="H100" s="31"/>
      <c r="I100" s="31"/>
      <c r="J100" s="31"/>
      <c r="K100" s="31"/>
      <c r="L100" s="31"/>
      <c r="M100" s="31"/>
      <c r="N100" s="536"/>
    </row>
    <row r="101" spans="1:14" s="370" customFormat="1">
      <c r="A101" s="31"/>
      <c r="B101" s="31"/>
      <c r="C101" s="32"/>
      <c r="D101" s="31"/>
      <c r="E101" s="31"/>
      <c r="F101" s="31"/>
      <c r="G101" s="31"/>
      <c r="H101" s="31"/>
      <c r="I101" s="31"/>
      <c r="J101" s="31"/>
      <c r="K101" s="31"/>
      <c r="L101" s="31"/>
      <c r="M101" s="31"/>
      <c r="N101" s="536"/>
    </row>
    <row r="102" spans="1:14" s="370" customFormat="1">
      <c r="A102" s="31"/>
      <c r="B102" s="31"/>
      <c r="C102" s="32"/>
      <c r="D102" s="31"/>
      <c r="E102" s="31"/>
      <c r="F102" s="31"/>
      <c r="G102" s="31"/>
      <c r="H102" s="31"/>
      <c r="I102" s="31"/>
      <c r="J102" s="31"/>
      <c r="K102" s="31"/>
      <c r="L102" s="31"/>
      <c r="M102" s="31"/>
      <c r="N102" s="536"/>
    </row>
  </sheetData>
  <mergeCells count="21">
    <mergeCell ref="A82:F82"/>
    <mergeCell ref="A83:F83"/>
    <mergeCell ref="A51:C51"/>
    <mergeCell ref="A73:E73"/>
    <mergeCell ref="A74:F74"/>
    <mergeCell ref="A78:F78"/>
    <mergeCell ref="A79:F79"/>
    <mergeCell ref="A80:F80"/>
    <mergeCell ref="A64:F64"/>
    <mergeCell ref="A67:F67"/>
    <mergeCell ref="A69:F69"/>
    <mergeCell ref="A70:F70"/>
    <mergeCell ref="A71:F71"/>
    <mergeCell ref="A1:N1"/>
    <mergeCell ref="A55:F55"/>
    <mergeCell ref="A56:F56"/>
    <mergeCell ref="A57:B57"/>
    <mergeCell ref="A63:F63"/>
    <mergeCell ref="D48:N48"/>
    <mergeCell ref="D49:N49"/>
    <mergeCell ref="D50:N50"/>
  </mergeCells>
  <printOptions horizontalCentered="1"/>
  <pageMargins left="0.2" right="0.2" top="0.75" bottom="0.75" header="0.3" footer="0.3"/>
  <pageSetup scale="62" fitToHeight="0" orientation="landscape" r:id="rId1"/>
  <headerFooter>
    <oddHeader xml:space="preserve">&amp;CDRAFT NOT FOR DISTRIBUTION, INTERNAL USE ONLY
</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pageSetUpPr fitToPage="1"/>
  </sheetPr>
  <dimension ref="A1:N171"/>
  <sheetViews>
    <sheetView zoomScaleNormal="100" workbookViewId="0">
      <selection sqref="A1:N1"/>
    </sheetView>
  </sheetViews>
  <sheetFormatPr defaultColWidth="8.81640625" defaultRowHeight="14.5"/>
  <cols>
    <col min="1" max="1" width="49.26953125" style="279" bestFit="1" customWidth="1"/>
    <col min="2" max="2" width="16" style="279" customWidth="1"/>
    <col min="3" max="3" width="7.7265625" style="150" customWidth="1"/>
    <col min="4" max="4" width="8.7265625" style="279" customWidth="1"/>
    <col min="5" max="5" width="10.7265625" style="279" customWidth="1"/>
    <col min="6" max="6" width="11" style="279" customWidth="1"/>
    <col min="7" max="7" width="9.54296875" style="279" customWidth="1"/>
    <col min="8" max="8" width="8.453125" style="279" customWidth="1"/>
    <col min="9" max="10" width="7.1796875" style="279" customWidth="1"/>
    <col min="11" max="11" width="7.7265625" style="279" customWidth="1"/>
    <col min="12" max="12" width="9.7265625" style="279" customWidth="1"/>
    <col min="13" max="13" width="9.1796875" style="279" customWidth="1"/>
    <col min="14" max="14" width="48.81640625" style="279" customWidth="1"/>
    <col min="15" max="16384" width="8.81640625" style="279"/>
  </cols>
  <sheetData>
    <row r="1" spans="1:14" s="302" customFormat="1" ht="15.5">
      <c r="A1" s="854" t="s">
        <v>270</v>
      </c>
      <c r="B1" s="854"/>
      <c r="C1" s="854"/>
      <c r="D1" s="854"/>
      <c r="E1" s="854"/>
      <c r="F1" s="854"/>
      <c r="G1" s="854"/>
      <c r="H1" s="854"/>
      <c r="I1" s="854"/>
      <c r="J1" s="854"/>
      <c r="K1" s="854"/>
      <c r="L1" s="854"/>
      <c r="M1" s="854"/>
      <c r="N1" s="854"/>
    </row>
    <row r="2" spans="1:14" s="302" customFormat="1">
      <c r="A2" s="702" t="s">
        <v>905</v>
      </c>
      <c r="B2" s="370"/>
      <c r="C2" s="639"/>
      <c r="D2" s="370"/>
      <c r="E2" s="370"/>
      <c r="F2" s="29"/>
      <c r="G2" s="29"/>
      <c r="H2" s="29"/>
      <c r="I2" s="29"/>
      <c r="J2" s="370"/>
      <c r="K2" s="370"/>
      <c r="L2" s="370"/>
      <c r="M2" s="370"/>
      <c r="N2" s="370"/>
    </row>
    <row r="3" spans="1:14" s="302" customFormat="1" ht="26">
      <c r="A3" s="506" t="s">
        <v>904</v>
      </c>
      <c r="B3" s="494"/>
      <c r="C3" s="639"/>
      <c r="D3" s="370"/>
      <c r="E3" s="370"/>
      <c r="F3" s="370"/>
      <c r="G3" s="451" t="s">
        <v>210</v>
      </c>
      <c r="H3" s="370"/>
      <c r="I3" s="370"/>
      <c r="J3" s="370"/>
      <c r="K3" s="370"/>
      <c r="L3" s="370"/>
      <c r="M3" s="370"/>
      <c r="N3" s="370"/>
    </row>
    <row r="4" spans="1:14" s="370" customFormat="1" ht="26">
      <c r="A4" s="506" t="s">
        <v>817</v>
      </c>
      <c r="B4" s="401"/>
      <c r="C4" s="639"/>
    </row>
    <row r="5" spans="1:14" s="314" customFormat="1"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595</v>
      </c>
      <c r="B7" s="36"/>
      <c r="C7" s="37" t="s">
        <v>218</v>
      </c>
      <c r="D7" s="38"/>
      <c r="E7" s="258">
        <v>0</v>
      </c>
      <c r="F7" s="303">
        <f>SUM(G7:M7)</f>
        <v>0</v>
      </c>
      <c r="G7" s="304">
        <v>0</v>
      </c>
      <c r="H7" s="304">
        <v>0</v>
      </c>
      <c r="I7" s="304">
        <v>0</v>
      </c>
      <c r="J7" s="304">
        <v>0</v>
      </c>
      <c r="K7" s="304">
        <v>0</v>
      </c>
      <c r="L7" s="304">
        <v>0</v>
      </c>
      <c r="M7" s="305">
        <v>0</v>
      </c>
      <c r="N7" s="318"/>
    </row>
    <row r="8" spans="1:14" ht="15" customHeight="1">
      <c r="A8" s="36" t="s">
        <v>596</v>
      </c>
      <c r="B8" s="259"/>
      <c r="C8" s="37" t="s">
        <v>218</v>
      </c>
      <c r="D8" s="39"/>
      <c r="E8" s="258">
        <v>0</v>
      </c>
      <c r="F8" s="303">
        <f t="shared" ref="F8:F15" si="0">SUM(G8:M8)</f>
        <v>0</v>
      </c>
      <c r="G8" s="304">
        <v>0</v>
      </c>
      <c r="H8" s="304">
        <v>0</v>
      </c>
      <c r="I8" s="304">
        <v>0</v>
      </c>
      <c r="J8" s="304">
        <v>0</v>
      </c>
      <c r="K8" s="304">
        <v>0</v>
      </c>
      <c r="L8" s="304">
        <v>0</v>
      </c>
      <c r="M8" s="305">
        <v>0</v>
      </c>
      <c r="N8" s="318"/>
    </row>
    <row r="9" spans="1:14" ht="15" customHeight="1">
      <c r="A9" s="36" t="s">
        <v>597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584</v>
      </c>
      <c r="B10" s="259"/>
      <c r="C10" s="37" t="s">
        <v>218</v>
      </c>
      <c r="D10" s="39"/>
      <c r="E10" s="258">
        <v>0</v>
      </c>
      <c r="F10" s="303">
        <f t="shared" si="0"/>
        <v>0</v>
      </c>
      <c r="G10" s="304">
        <v>0</v>
      </c>
      <c r="H10" s="304">
        <v>0</v>
      </c>
      <c r="I10" s="304">
        <v>0</v>
      </c>
      <c r="J10" s="304">
        <v>0</v>
      </c>
      <c r="K10" s="304">
        <v>0</v>
      </c>
      <c r="L10" s="304">
        <v>0</v>
      </c>
      <c r="M10" s="305">
        <v>0</v>
      </c>
      <c r="N10" s="348"/>
    </row>
    <row r="11" spans="1:14" ht="50.5" customHeight="1">
      <c r="A11" s="371" t="s">
        <v>906</v>
      </c>
      <c r="B11" s="36"/>
      <c r="C11" s="37" t="s">
        <v>218</v>
      </c>
      <c r="D11" s="39">
        <v>0.5</v>
      </c>
      <c r="E11" s="258">
        <v>90</v>
      </c>
      <c r="F11" s="303">
        <f t="shared" si="0"/>
        <v>90</v>
      </c>
      <c r="G11" s="304">
        <v>0</v>
      </c>
      <c r="H11" s="304">
        <v>0</v>
      </c>
      <c r="I11" s="304">
        <v>0</v>
      </c>
      <c r="J11" s="304">
        <v>0</v>
      </c>
      <c r="K11" s="304">
        <v>90</v>
      </c>
      <c r="L11" s="304">
        <v>0</v>
      </c>
      <c r="M11" s="305">
        <v>0</v>
      </c>
      <c r="N11" s="318" t="s">
        <v>908</v>
      </c>
    </row>
    <row r="12" spans="1:14" ht="30.5" customHeight="1">
      <c r="A12" s="36" t="s">
        <v>907</v>
      </c>
      <c r="B12" s="259"/>
      <c r="C12" s="37" t="s">
        <v>218</v>
      </c>
      <c r="D12" s="39">
        <v>0.5</v>
      </c>
      <c r="E12" s="258">
        <v>25</v>
      </c>
      <c r="F12" s="303">
        <f t="shared" si="0"/>
        <v>22</v>
      </c>
      <c r="G12" s="304">
        <v>0</v>
      </c>
      <c r="H12" s="304">
        <v>0</v>
      </c>
      <c r="I12" s="304">
        <v>0</v>
      </c>
      <c r="J12" s="304">
        <v>0</v>
      </c>
      <c r="K12" s="304">
        <v>0</v>
      </c>
      <c r="L12" s="304">
        <f>25-3</f>
        <v>22</v>
      </c>
      <c r="M12" s="305">
        <v>0</v>
      </c>
      <c r="N12" s="318" t="s">
        <v>909</v>
      </c>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1</v>
      </c>
      <c r="E16" s="42">
        <f t="shared" si="1"/>
        <v>115</v>
      </c>
      <c r="F16" s="43">
        <f t="shared" si="1"/>
        <v>112</v>
      </c>
      <c r="G16" s="43">
        <f t="shared" si="1"/>
        <v>0</v>
      </c>
      <c r="H16" s="43">
        <f t="shared" si="1"/>
        <v>0</v>
      </c>
      <c r="I16" s="43">
        <f t="shared" si="1"/>
        <v>0</v>
      </c>
      <c r="J16" s="43">
        <f t="shared" si="1"/>
        <v>0</v>
      </c>
      <c r="K16" s="43">
        <f t="shared" si="1"/>
        <v>90</v>
      </c>
      <c r="L16" s="43">
        <f t="shared" si="1"/>
        <v>22</v>
      </c>
      <c r="M16" s="43">
        <f t="shared" si="1"/>
        <v>0</v>
      </c>
      <c r="N16" s="348"/>
    </row>
    <row r="17" spans="1:14">
      <c r="A17" s="67" t="s">
        <v>220</v>
      </c>
      <c r="B17" s="68"/>
      <c r="C17" s="69"/>
      <c r="D17" s="68"/>
      <c r="E17" s="68"/>
      <c r="F17" s="70"/>
      <c r="G17" s="70"/>
      <c r="H17" s="70"/>
      <c r="I17" s="70"/>
      <c r="J17" s="70"/>
      <c r="K17" s="70"/>
      <c r="L17" s="70"/>
      <c r="M17" s="70"/>
      <c r="N17" s="70"/>
    </row>
    <row r="18" spans="1:14">
      <c r="A18" s="259" t="s">
        <v>891</v>
      </c>
      <c r="B18" s="259" t="s">
        <v>892</v>
      </c>
      <c r="C18" s="44">
        <v>253</v>
      </c>
      <c r="D18" s="45"/>
      <c r="E18" s="258">
        <v>50</v>
      </c>
      <c r="F18" s="350">
        <f>SUM(G18:M18)</f>
        <v>50</v>
      </c>
      <c r="G18" s="304">
        <v>0</v>
      </c>
      <c r="H18" s="304">
        <v>0</v>
      </c>
      <c r="I18" s="304">
        <v>0</v>
      </c>
      <c r="J18" s="304">
        <v>0</v>
      </c>
      <c r="K18" s="304">
        <v>50</v>
      </c>
      <c r="L18" s="304">
        <v>0</v>
      </c>
      <c r="M18" s="305">
        <v>0</v>
      </c>
      <c r="N18" s="319" t="s">
        <v>893</v>
      </c>
    </row>
    <row r="19" spans="1:14">
      <c r="A19" s="259" t="s">
        <v>296</v>
      </c>
      <c r="B19" s="259"/>
      <c r="C19" s="44">
        <v>253</v>
      </c>
      <c r="D19" s="45"/>
      <c r="E19" s="258">
        <v>0</v>
      </c>
      <c r="F19" s="350">
        <f>SUM(G19:M19)</f>
        <v>0</v>
      </c>
      <c r="G19" s="304">
        <v>0</v>
      </c>
      <c r="H19" s="304">
        <v>0</v>
      </c>
      <c r="I19" s="304">
        <v>0</v>
      </c>
      <c r="J19" s="304">
        <v>0</v>
      </c>
      <c r="K19" s="304">
        <v>0</v>
      </c>
      <c r="L19" s="304">
        <v>0</v>
      </c>
      <c r="M19" s="305">
        <v>0</v>
      </c>
      <c r="N19" s="319"/>
    </row>
    <row r="20" spans="1:14">
      <c r="A20" s="71" t="s">
        <v>224</v>
      </c>
      <c r="B20" s="259" t="s">
        <v>507</v>
      </c>
      <c r="C20" s="44">
        <v>253</v>
      </c>
      <c r="D20" s="262"/>
      <c r="E20" s="258">
        <v>0</v>
      </c>
      <c r="F20" s="350">
        <f>SUM(G20:M20)</f>
        <v>0</v>
      </c>
      <c r="G20" s="304">
        <v>0</v>
      </c>
      <c r="H20" s="304">
        <v>0</v>
      </c>
      <c r="I20" s="304">
        <v>0</v>
      </c>
      <c r="J20" s="304">
        <v>0</v>
      </c>
      <c r="K20" s="304">
        <v>0</v>
      </c>
      <c r="L20" s="304">
        <v>0</v>
      </c>
      <c r="M20" s="305">
        <v>0</v>
      </c>
      <c r="N20" s="348"/>
    </row>
    <row r="21" spans="1:14">
      <c r="A21" s="71" t="s">
        <v>298</v>
      </c>
      <c r="B21" s="259"/>
      <c r="C21" s="44">
        <v>253</v>
      </c>
      <c r="D21" s="262"/>
      <c r="E21" s="258">
        <v>0</v>
      </c>
      <c r="F21" s="350">
        <f>SUM(G21:M21)</f>
        <v>0</v>
      </c>
      <c r="G21" s="304">
        <v>0</v>
      </c>
      <c r="H21" s="304">
        <v>0</v>
      </c>
      <c r="I21" s="304">
        <v>0</v>
      </c>
      <c r="J21" s="304">
        <v>0</v>
      </c>
      <c r="K21" s="304">
        <v>0</v>
      </c>
      <c r="L21" s="304">
        <v>0</v>
      </c>
      <c r="M21" s="305">
        <v>0</v>
      </c>
      <c r="N21" s="348"/>
    </row>
    <row r="22" spans="1:14" s="280" customFormat="1">
      <c r="A22" s="71" t="s">
        <v>298</v>
      </c>
      <c r="B22" s="259"/>
      <c r="C22" s="44">
        <v>253</v>
      </c>
      <c r="D22" s="262"/>
      <c r="E22" s="258">
        <v>0</v>
      </c>
      <c r="F22" s="350">
        <f>SUM(G22:M22)</f>
        <v>0</v>
      </c>
      <c r="G22" s="304">
        <v>0</v>
      </c>
      <c r="H22" s="304">
        <v>0</v>
      </c>
      <c r="I22" s="304">
        <v>0</v>
      </c>
      <c r="J22" s="304">
        <v>0</v>
      </c>
      <c r="K22" s="304">
        <v>0</v>
      </c>
      <c r="L22" s="304">
        <v>0</v>
      </c>
      <c r="M22" s="305">
        <v>0</v>
      </c>
      <c r="N22" s="319"/>
    </row>
    <row r="23" spans="1:14">
      <c r="A23" s="40" t="s">
        <v>225</v>
      </c>
      <c r="B23" s="260"/>
      <c r="C23" s="261"/>
      <c r="D23" s="262">
        <f>SUM(D18:D22)</f>
        <v>0</v>
      </c>
      <c r="E23" s="42">
        <f>SUM(E18:E22)</f>
        <v>50</v>
      </c>
      <c r="F23" s="43">
        <f>SUM(F18:F22)</f>
        <v>50</v>
      </c>
      <c r="G23" s="43">
        <f t="shared" ref="G23:M23" si="2">SUM(G18:G22)</f>
        <v>0</v>
      </c>
      <c r="H23" s="43">
        <f t="shared" si="2"/>
        <v>0</v>
      </c>
      <c r="I23" s="43">
        <f t="shared" si="2"/>
        <v>0</v>
      </c>
      <c r="J23" s="43">
        <f t="shared" si="2"/>
        <v>0</v>
      </c>
      <c r="K23" s="43">
        <f t="shared" si="2"/>
        <v>50</v>
      </c>
      <c r="L23" s="43">
        <f t="shared" si="2"/>
        <v>0</v>
      </c>
      <c r="M23" s="43">
        <f t="shared" si="2"/>
        <v>0</v>
      </c>
      <c r="N23" s="348"/>
    </row>
    <row r="24" spans="1:14" s="280" customFormat="1">
      <c r="A24" s="67" t="s">
        <v>279</v>
      </c>
      <c r="B24" s="68"/>
      <c r="C24" s="69"/>
      <c r="D24" s="68"/>
      <c r="E24" s="68"/>
      <c r="F24" s="70"/>
      <c r="G24" s="70"/>
      <c r="H24" s="70"/>
      <c r="I24" s="70"/>
      <c r="J24" s="70"/>
      <c r="K24" s="70"/>
      <c r="L24" s="70"/>
      <c r="M24" s="70"/>
      <c r="N24" s="70"/>
    </row>
    <row r="25" spans="1:14" ht="15" customHeight="1">
      <c r="A25" s="259" t="s">
        <v>227</v>
      </c>
      <c r="B25" s="36"/>
      <c r="C25" s="37" t="s">
        <v>228</v>
      </c>
      <c r="D25" s="38">
        <v>0</v>
      </c>
      <c r="E25" s="258">
        <v>0</v>
      </c>
      <c r="F25" s="350">
        <f t="shared" ref="F25:F40" si="3">SUM(G25:M25)</f>
        <v>3</v>
      </c>
      <c r="G25" s="304">
        <v>0</v>
      </c>
      <c r="H25" s="304">
        <v>3</v>
      </c>
      <c r="I25" s="304">
        <v>0</v>
      </c>
      <c r="J25" s="304">
        <v>0</v>
      </c>
      <c r="K25" s="304">
        <v>0</v>
      </c>
      <c r="L25" s="304">
        <v>0</v>
      </c>
      <c r="M25" s="305">
        <v>0</v>
      </c>
      <c r="N25" s="348" t="s">
        <v>1471</v>
      </c>
    </row>
    <row r="26" spans="1:14">
      <c r="A26" s="259" t="s">
        <v>229</v>
      </c>
      <c r="B26" s="36"/>
      <c r="C26" s="44" t="s">
        <v>230</v>
      </c>
      <c r="D26" s="45"/>
      <c r="E26" s="258">
        <v>0</v>
      </c>
      <c r="F26" s="350">
        <f t="shared" si="3"/>
        <v>0</v>
      </c>
      <c r="G26" s="304">
        <v>0</v>
      </c>
      <c r="H26" s="304">
        <v>0</v>
      </c>
      <c r="I26" s="304">
        <v>0</v>
      </c>
      <c r="J26" s="304">
        <v>0</v>
      </c>
      <c r="K26" s="304">
        <v>0</v>
      </c>
      <c r="L26" s="304">
        <v>0</v>
      </c>
      <c r="M26" s="305">
        <v>0</v>
      </c>
      <c r="N26" s="348"/>
    </row>
    <row r="27" spans="1:14">
      <c r="A27" s="259" t="s">
        <v>231</v>
      </c>
      <c r="B27" s="36"/>
      <c r="C27" s="44" t="s">
        <v>232</v>
      </c>
      <c r="D27" s="45"/>
      <c r="E27" s="258">
        <v>0</v>
      </c>
      <c r="F27" s="350">
        <f t="shared" si="3"/>
        <v>0</v>
      </c>
      <c r="G27" s="304">
        <v>0</v>
      </c>
      <c r="H27" s="304">
        <v>0</v>
      </c>
      <c r="I27" s="304">
        <v>0</v>
      </c>
      <c r="J27" s="304">
        <v>0</v>
      </c>
      <c r="K27" s="304">
        <v>0</v>
      </c>
      <c r="L27" s="304">
        <v>0</v>
      </c>
      <c r="M27" s="305">
        <v>0</v>
      </c>
      <c r="N27" s="348"/>
    </row>
    <row r="28" spans="1:14">
      <c r="A28" s="259" t="s">
        <v>233</v>
      </c>
      <c r="B28" s="36"/>
      <c r="C28" s="44" t="s">
        <v>234</v>
      </c>
      <c r="D28" s="45"/>
      <c r="E28" s="258">
        <v>0</v>
      </c>
      <c r="F28" s="350">
        <f t="shared" si="3"/>
        <v>0</v>
      </c>
      <c r="G28" s="304">
        <v>0</v>
      </c>
      <c r="H28" s="304">
        <v>0</v>
      </c>
      <c r="I28" s="304">
        <v>0</v>
      </c>
      <c r="J28" s="304">
        <v>0</v>
      </c>
      <c r="K28" s="304">
        <v>0</v>
      </c>
      <c r="L28" s="304">
        <v>0</v>
      </c>
      <c r="M28" s="305">
        <v>0</v>
      </c>
      <c r="N28" s="348"/>
    </row>
    <row r="29" spans="1:14" s="370" customFormat="1">
      <c r="A29" s="530" t="s">
        <v>235</v>
      </c>
      <c r="B29" s="57"/>
      <c r="C29" s="597">
        <v>251</v>
      </c>
      <c r="D29" s="45"/>
      <c r="E29" s="258">
        <v>0</v>
      </c>
      <c r="F29" s="350">
        <f t="shared" ref="F29:F32" si="4">SUM(G29:M29)</f>
        <v>0</v>
      </c>
      <c r="G29" s="304">
        <v>0</v>
      </c>
      <c r="H29" s="304">
        <v>0</v>
      </c>
      <c r="I29" s="304">
        <v>0</v>
      </c>
      <c r="J29" s="304">
        <v>0</v>
      </c>
      <c r="K29" s="304">
        <v>0</v>
      </c>
      <c r="L29" s="304">
        <v>0</v>
      </c>
      <c r="M29" s="305">
        <v>0</v>
      </c>
      <c r="N29" s="348"/>
    </row>
    <row r="30" spans="1:14" s="370" customFormat="1" ht="58">
      <c r="A30" s="530" t="s">
        <v>598</v>
      </c>
      <c r="B30" s="57" t="s">
        <v>599</v>
      </c>
      <c r="C30" s="597">
        <v>252</v>
      </c>
      <c r="D30" s="45"/>
      <c r="E30" s="258">
        <v>1265</v>
      </c>
      <c r="F30" s="303">
        <f t="shared" si="4"/>
        <v>1430</v>
      </c>
      <c r="G30" s="304">
        <v>0</v>
      </c>
      <c r="H30" s="304">
        <v>682</v>
      </c>
      <c r="I30" s="304">
        <v>0</v>
      </c>
      <c r="J30" s="304">
        <v>0</v>
      </c>
      <c r="K30" s="304">
        <f>1265-682-583</f>
        <v>0</v>
      </c>
      <c r="L30" s="304">
        <f>165+583</f>
        <v>748</v>
      </c>
      <c r="M30" s="305">
        <v>0</v>
      </c>
      <c r="N30" s="318" t="s">
        <v>797</v>
      </c>
    </row>
    <row r="31" spans="1:14" s="370" customFormat="1" ht="87">
      <c r="A31" s="530" t="s">
        <v>600</v>
      </c>
      <c r="B31" s="57" t="s">
        <v>599</v>
      </c>
      <c r="C31" s="597">
        <v>252</v>
      </c>
      <c r="D31" s="45"/>
      <c r="E31" s="258">
        <v>212</v>
      </c>
      <c r="F31" s="303">
        <f t="shared" si="4"/>
        <v>240</v>
      </c>
      <c r="G31" s="304">
        <v>0</v>
      </c>
      <c r="H31" s="304">
        <v>170</v>
      </c>
      <c r="I31" s="304">
        <v>0</v>
      </c>
      <c r="J31" s="304">
        <v>0</v>
      </c>
      <c r="K31" s="304">
        <f>212-170-42</f>
        <v>0</v>
      </c>
      <c r="L31" s="304">
        <f>28+42</f>
        <v>70</v>
      </c>
      <c r="M31" s="305">
        <v>0</v>
      </c>
      <c r="N31" s="318" t="s">
        <v>1064</v>
      </c>
    </row>
    <row r="32" spans="1:14" s="370" customFormat="1">
      <c r="A32" s="530" t="s">
        <v>601</v>
      </c>
      <c r="B32" s="57" t="s">
        <v>602</v>
      </c>
      <c r="C32" s="597">
        <v>252</v>
      </c>
      <c r="D32" s="45"/>
      <c r="E32" s="258">
        <v>38</v>
      </c>
      <c r="F32" s="303">
        <f t="shared" si="4"/>
        <v>43</v>
      </c>
      <c r="G32" s="304"/>
      <c r="H32" s="304"/>
      <c r="I32" s="304"/>
      <c r="J32" s="304"/>
      <c r="K32" s="304">
        <v>38</v>
      </c>
      <c r="L32" s="304">
        <v>5</v>
      </c>
      <c r="M32" s="305"/>
      <c r="N32" s="348" t="s">
        <v>603</v>
      </c>
    </row>
    <row r="33" spans="1:14">
      <c r="A33" s="259" t="s">
        <v>243</v>
      </c>
      <c r="B33" s="36"/>
      <c r="C33" s="44">
        <v>252</v>
      </c>
      <c r="D33" s="45"/>
      <c r="E33" s="258">
        <v>0</v>
      </c>
      <c r="F33" s="350">
        <f t="shared" si="3"/>
        <v>0</v>
      </c>
      <c r="G33" s="304">
        <v>0</v>
      </c>
      <c r="H33" s="304">
        <v>0</v>
      </c>
      <c r="I33" s="304">
        <v>0</v>
      </c>
      <c r="J33" s="304">
        <v>0</v>
      </c>
      <c r="K33" s="304">
        <v>0</v>
      </c>
      <c r="L33" s="304">
        <v>0</v>
      </c>
      <c r="M33" s="305">
        <v>0</v>
      </c>
      <c r="N33" s="318"/>
    </row>
    <row r="34" spans="1:14" ht="43.5">
      <c r="A34" s="259" t="s">
        <v>894</v>
      </c>
      <c r="B34" s="371" t="s">
        <v>895</v>
      </c>
      <c r="C34" s="44">
        <v>252</v>
      </c>
      <c r="D34" s="259"/>
      <c r="E34" s="258">
        <v>150</v>
      </c>
      <c r="F34" s="350">
        <f t="shared" si="3"/>
        <v>209</v>
      </c>
      <c r="G34" s="304">
        <v>0</v>
      </c>
      <c r="H34" s="304">
        <v>0</v>
      </c>
      <c r="I34" s="304">
        <v>0</v>
      </c>
      <c r="J34" s="304">
        <v>0</v>
      </c>
      <c r="K34" s="304">
        <v>189</v>
      </c>
      <c r="L34" s="304">
        <v>20</v>
      </c>
      <c r="M34" s="305">
        <v>0</v>
      </c>
      <c r="N34" s="318" t="s">
        <v>910</v>
      </c>
    </row>
    <row r="35" spans="1:14">
      <c r="A35" s="259" t="s">
        <v>657</v>
      </c>
      <c r="B35" s="36" t="s">
        <v>586</v>
      </c>
      <c r="C35" s="44">
        <v>252</v>
      </c>
      <c r="D35" s="259"/>
      <c r="E35" s="258">
        <v>50</v>
      </c>
      <c r="F35" s="350">
        <f t="shared" si="3"/>
        <v>57</v>
      </c>
      <c r="G35" s="304">
        <v>0</v>
      </c>
      <c r="H35" s="304">
        <v>0</v>
      </c>
      <c r="I35" s="304">
        <v>0</v>
      </c>
      <c r="J35" s="304">
        <v>0</v>
      </c>
      <c r="K35" s="304">
        <f>50</f>
        <v>50</v>
      </c>
      <c r="L35" s="304">
        <v>7</v>
      </c>
      <c r="M35" s="305">
        <v>0</v>
      </c>
      <c r="N35" s="348"/>
    </row>
    <row r="36" spans="1:14" s="370" customFormat="1">
      <c r="A36" s="259" t="s">
        <v>244</v>
      </c>
      <c r="B36" s="36"/>
      <c r="C36" s="44">
        <v>253</v>
      </c>
      <c r="D36" s="259"/>
      <c r="E36" s="258">
        <v>0</v>
      </c>
      <c r="F36" s="350">
        <f t="shared" si="3"/>
        <v>0</v>
      </c>
      <c r="G36" s="304">
        <v>0</v>
      </c>
      <c r="H36" s="304">
        <v>0</v>
      </c>
      <c r="I36" s="304">
        <v>0</v>
      </c>
      <c r="J36" s="304">
        <v>0</v>
      </c>
      <c r="K36" s="304">
        <v>0</v>
      </c>
      <c r="L36" s="304">
        <v>0</v>
      </c>
      <c r="M36" s="305">
        <v>0</v>
      </c>
      <c r="N36" s="348"/>
    </row>
    <row r="37" spans="1:14" s="370" customFormat="1">
      <c r="A37" s="259" t="s">
        <v>245</v>
      </c>
      <c r="B37" s="36"/>
      <c r="C37" s="44">
        <v>255</v>
      </c>
      <c r="D37" s="259"/>
      <c r="E37" s="258">
        <v>0</v>
      </c>
      <c r="F37" s="350">
        <f t="shared" si="3"/>
        <v>0</v>
      </c>
      <c r="G37" s="304">
        <v>0</v>
      </c>
      <c r="H37" s="304">
        <v>0</v>
      </c>
      <c r="I37" s="304">
        <v>0</v>
      </c>
      <c r="J37" s="304">
        <v>0</v>
      </c>
      <c r="K37" s="304">
        <v>0</v>
      </c>
      <c r="L37" s="304">
        <v>0</v>
      </c>
      <c r="M37" s="305">
        <v>0</v>
      </c>
      <c r="N37" s="348"/>
    </row>
    <row r="38" spans="1:14">
      <c r="A38" s="259" t="s">
        <v>246</v>
      </c>
      <c r="B38" s="36"/>
      <c r="C38" s="44">
        <v>256</v>
      </c>
      <c r="D38" s="259"/>
      <c r="E38" s="258">
        <v>0</v>
      </c>
      <c r="F38" s="303">
        <f t="shared" si="3"/>
        <v>0</v>
      </c>
      <c r="G38" s="304">
        <v>0</v>
      </c>
      <c r="H38" s="304">
        <v>0</v>
      </c>
      <c r="I38" s="304">
        <v>0</v>
      </c>
      <c r="J38" s="304">
        <v>0</v>
      </c>
      <c r="K38" s="304">
        <v>0</v>
      </c>
      <c r="L38" s="304">
        <v>0</v>
      </c>
      <c r="M38" s="305">
        <v>0</v>
      </c>
      <c r="N38" s="348"/>
    </row>
    <row r="39" spans="1:14">
      <c r="A39" s="259" t="s">
        <v>247</v>
      </c>
      <c r="B39" s="36"/>
      <c r="C39" s="44">
        <v>257</v>
      </c>
      <c r="D39" s="259"/>
      <c r="E39" s="258">
        <v>0</v>
      </c>
      <c r="F39" s="303">
        <f t="shared" si="3"/>
        <v>0</v>
      </c>
      <c r="G39" s="304">
        <v>0</v>
      </c>
      <c r="H39" s="304">
        <v>0</v>
      </c>
      <c r="I39" s="304">
        <v>0</v>
      </c>
      <c r="J39" s="304">
        <v>0</v>
      </c>
      <c r="K39" s="304">
        <v>0</v>
      </c>
      <c r="L39" s="304">
        <v>0</v>
      </c>
      <c r="M39" s="305">
        <v>0</v>
      </c>
      <c r="N39" s="348"/>
    </row>
    <row r="40" spans="1:14">
      <c r="A40" s="259" t="s">
        <v>248</v>
      </c>
      <c r="B40" s="36"/>
      <c r="C40" s="44" t="s">
        <v>249</v>
      </c>
      <c r="D40" s="259"/>
      <c r="E40" s="258">
        <v>0</v>
      </c>
      <c r="F40" s="303">
        <f t="shared" si="3"/>
        <v>0</v>
      </c>
      <c r="G40" s="304">
        <v>0</v>
      </c>
      <c r="H40" s="304">
        <v>0</v>
      </c>
      <c r="I40" s="304">
        <v>0</v>
      </c>
      <c r="J40" s="304">
        <v>0</v>
      </c>
      <c r="K40" s="304">
        <v>0</v>
      </c>
      <c r="L40" s="304">
        <v>0</v>
      </c>
      <c r="M40" s="305">
        <v>0</v>
      </c>
      <c r="N40" s="348"/>
    </row>
    <row r="41" spans="1:14" s="370" customFormat="1">
      <c r="A41" s="260" t="s">
        <v>250</v>
      </c>
      <c r="B41" s="36"/>
      <c r="C41" s="261" t="s">
        <v>251</v>
      </c>
      <c r="D41" s="260"/>
      <c r="E41" s="258">
        <v>0</v>
      </c>
      <c r="F41" s="303">
        <f>SUM(G41:M41)</f>
        <v>0</v>
      </c>
      <c r="G41" s="304">
        <v>0</v>
      </c>
      <c r="H41" s="304">
        <v>0</v>
      </c>
      <c r="I41" s="304">
        <v>0</v>
      </c>
      <c r="J41" s="304">
        <v>0</v>
      </c>
      <c r="K41" s="304">
        <v>0</v>
      </c>
      <c r="L41" s="304">
        <v>0</v>
      </c>
      <c r="M41" s="305">
        <v>0</v>
      </c>
      <c r="N41" s="348"/>
    </row>
    <row r="42" spans="1:14" s="370" customFormat="1">
      <c r="A42" s="601" t="s">
        <v>252</v>
      </c>
      <c r="B42" s="628"/>
      <c r="C42" s="621" t="s">
        <v>253</v>
      </c>
      <c r="D42" s="601"/>
      <c r="E42" s="311">
        <v>0</v>
      </c>
      <c r="F42" s="303">
        <f>SUM(G42:M42)</f>
        <v>0</v>
      </c>
      <c r="G42" s="163">
        <v>0</v>
      </c>
      <c r="H42" s="163">
        <v>0</v>
      </c>
      <c r="I42" s="163">
        <v>0</v>
      </c>
      <c r="J42" s="163">
        <v>0</v>
      </c>
      <c r="K42" s="163">
        <f>-250+250</f>
        <v>0</v>
      </c>
      <c r="L42" s="163">
        <f>-843+250+593</f>
        <v>0</v>
      </c>
      <c r="M42" s="164">
        <v>0</v>
      </c>
      <c r="N42" s="318" t="s">
        <v>951</v>
      </c>
    </row>
    <row r="43" spans="1:14">
      <c r="A43" s="40" t="s">
        <v>254</v>
      </c>
      <c r="B43" s="260"/>
      <c r="C43" s="261"/>
      <c r="D43" s="262"/>
      <c r="E43" s="42">
        <f t="shared" ref="E43:M43" si="5">SUM(E25:E42)</f>
        <v>1715</v>
      </c>
      <c r="F43" s="43">
        <f t="shared" si="5"/>
        <v>1982</v>
      </c>
      <c r="G43" s="43">
        <f t="shared" si="5"/>
        <v>0</v>
      </c>
      <c r="H43" s="43">
        <f t="shared" si="5"/>
        <v>855</v>
      </c>
      <c r="I43" s="43">
        <f t="shared" si="5"/>
        <v>0</v>
      </c>
      <c r="J43" s="43">
        <f t="shared" si="5"/>
        <v>0</v>
      </c>
      <c r="K43" s="43">
        <f t="shared" si="5"/>
        <v>277</v>
      </c>
      <c r="L43" s="43">
        <f t="shared" si="5"/>
        <v>850</v>
      </c>
      <c r="M43" s="43">
        <f t="shared" si="5"/>
        <v>0</v>
      </c>
      <c r="N43" s="348"/>
    </row>
    <row r="44" spans="1:14" ht="29">
      <c r="A44" s="40" t="s">
        <v>255</v>
      </c>
      <c r="B44" s="51"/>
      <c r="C44" s="147"/>
      <c r="D44" s="262"/>
      <c r="E44" s="42">
        <v>0</v>
      </c>
      <c r="F44" s="235">
        <f>SUM(G44:L44)</f>
        <v>799</v>
      </c>
      <c r="G44" s="235"/>
      <c r="H44" s="235"/>
      <c r="I44" s="235"/>
      <c r="J44" s="235"/>
      <c r="K44" s="235">
        <v>128</v>
      </c>
      <c r="L44" s="235">
        <f>437+234</f>
        <v>671</v>
      </c>
      <c r="M44" s="235"/>
      <c r="N44" s="318" t="s">
        <v>1566</v>
      </c>
    </row>
    <row r="45" spans="1:14">
      <c r="A45" s="40" t="s">
        <v>256</v>
      </c>
      <c r="B45" s="46"/>
      <c r="C45" s="47"/>
      <c r="D45" s="48">
        <f>D43+D23+D16</f>
        <v>1</v>
      </c>
      <c r="E45" s="42">
        <f>E43+E23+E16</f>
        <v>1880</v>
      </c>
      <c r="F45" s="17">
        <f t="shared" ref="F45:M45" si="6">F43+F23+F16-F44</f>
        <v>1345</v>
      </c>
      <c r="G45" s="17">
        <f t="shared" si="6"/>
        <v>0</v>
      </c>
      <c r="H45" s="17">
        <f t="shared" si="6"/>
        <v>855</v>
      </c>
      <c r="I45" s="17">
        <f t="shared" si="6"/>
        <v>0</v>
      </c>
      <c r="J45" s="17">
        <f t="shared" si="6"/>
        <v>0</v>
      </c>
      <c r="K45" s="17">
        <f t="shared" si="6"/>
        <v>289</v>
      </c>
      <c r="L45" s="17">
        <f t="shared" si="6"/>
        <v>201</v>
      </c>
      <c r="M45" s="17">
        <f t="shared" si="6"/>
        <v>0</v>
      </c>
      <c r="N45" s="346"/>
    </row>
    <row r="47" spans="1:14" s="370" customFormat="1" ht="15" customHeight="1">
      <c r="B47" s="29"/>
      <c r="C47" s="66"/>
      <c r="D47" s="29"/>
      <c r="E47" s="29"/>
      <c r="F47" s="29"/>
      <c r="I47" s="539"/>
      <c r="J47" s="421" t="s">
        <v>1012</v>
      </c>
      <c r="K47" s="421" t="s">
        <v>735</v>
      </c>
    </row>
    <row r="48" spans="1:14" s="370" customFormat="1">
      <c r="C48" s="639"/>
      <c r="F48" s="257"/>
      <c r="H48" s="370" t="s">
        <v>24</v>
      </c>
      <c r="I48" s="281"/>
      <c r="J48" s="281">
        <f>ROUND((+$F$45+$F$44)*'Prep%Fuelspercentage.direct'!B38,0)-327-250-200-128-437</f>
        <v>152</v>
      </c>
      <c r="K48" s="773">
        <v>574</v>
      </c>
      <c r="L48" s="252"/>
      <c r="M48" s="223"/>
    </row>
    <row r="49" spans="1:14" s="370" customFormat="1" ht="16">
      <c r="C49" s="639"/>
      <c r="H49" s="370" t="s">
        <v>25</v>
      </c>
      <c r="I49" s="623"/>
      <c r="J49" s="623">
        <f>ROUND((+$F$45+$F$44)*'Prep%Fuelspercentage.direct'!B39,0)+327+250+200-234</f>
        <v>1193</v>
      </c>
      <c r="K49" s="623">
        <v>1306</v>
      </c>
      <c r="L49" s="257"/>
    </row>
    <row r="50" spans="1:14" s="370" customFormat="1">
      <c r="C50" s="639"/>
      <c r="I50" s="257"/>
      <c r="J50" s="257">
        <f>SUM(J48:J49)</f>
        <v>1345</v>
      </c>
      <c r="K50" s="257">
        <f>+K48+K49</f>
        <v>1880</v>
      </c>
    </row>
    <row r="51" spans="1:14">
      <c r="A51" s="370"/>
      <c r="B51" s="370"/>
      <c r="C51" s="370"/>
      <c r="D51" s="370"/>
      <c r="E51" s="370"/>
      <c r="F51" s="370"/>
      <c r="G51" s="370"/>
      <c r="H51" s="370"/>
      <c r="I51" s="370"/>
      <c r="J51" s="370"/>
      <c r="K51" s="370"/>
      <c r="L51" s="370"/>
      <c r="M51" s="370"/>
      <c r="N51" s="370"/>
    </row>
    <row r="52" spans="1:14" s="370" customFormat="1" ht="15" thickBot="1">
      <c r="A52" s="31"/>
      <c r="B52" s="31"/>
      <c r="C52" s="32"/>
      <c r="D52" s="31"/>
      <c r="E52" s="31"/>
      <c r="F52" s="31"/>
      <c r="G52" s="31"/>
      <c r="H52" s="31"/>
      <c r="I52" s="31"/>
      <c r="J52" s="31"/>
      <c r="K52" s="31"/>
      <c r="L52" s="31"/>
      <c r="M52" s="31"/>
      <c r="N52" s="536"/>
    </row>
    <row r="53" spans="1:14" s="370" customFormat="1" ht="15.5">
      <c r="A53" s="873" t="s">
        <v>257</v>
      </c>
      <c r="B53" s="874"/>
      <c r="C53" s="874"/>
      <c r="D53" s="874"/>
      <c r="E53" s="874"/>
      <c r="F53" s="874"/>
      <c r="G53" s="550"/>
      <c r="H53" s="31"/>
      <c r="I53" s="31"/>
      <c r="J53" s="31"/>
      <c r="K53" s="31"/>
      <c r="L53" s="31"/>
      <c r="M53" s="31"/>
      <c r="N53" s="536"/>
    </row>
    <row r="54" spans="1:14" s="370" customFormat="1" ht="15.5">
      <c r="A54" s="875"/>
      <c r="B54" s="876"/>
      <c r="C54" s="876"/>
      <c r="D54" s="876"/>
      <c r="E54" s="876"/>
      <c r="F54" s="876"/>
      <c r="G54" s="551"/>
      <c r="H54" s="31"/>
      <c r="I54" s="31"/>
      <c r="J54" s="31"/>
      <c r="K54" s="31"/>
      <c r="L54" s="31"/>
      <c r="M54" s="31"/>
      <c r="N54" s="536"/>
    </row>
    <row r="55" spans="1:14" s="370" customFormat="1">
      <c r="A55" s="877" t="s">
        <v>258</v>
      </c>
      <c r="B55" s="878"/>
      <c r="C55" s="552"/>
      <c r="D55" s="552"/>
      <c r="E55" s="552"/>
      <c r="F55" s="552"/>
      <c r="G55" s="551"/>
      <c r="H55" s="31"/>
      <c r="I55" s="31"/>
      <c r="J55" s="31"/>
      <c r="K55" s="31"/>
      <c r="L55" s="31"/>
      <c r="M55" s="31"/>
      <c r="N55" s="536"/>
    </row>
    <row r="56" spans="1:14" s="370" customFormat="1">
      <c r="A56" s="553" t="s">
        <v>1009</v>
      </c>
      <c r="B56" s="554">
        <f>E45</f>
        <v>1880</v>
      </c>
      <c r="C56" s="555"/>
      <c r="D56" s="556"/>
      <c r="E56" s="556"/>
      <c r="F56" s="556"/>
      <c r="G56" s="551"/>
      <c r="H56" s="31"/>
      <c r="I56" s="31"/>
      <c r="J56" s="31"/>
      <c r="K56" s="31"/>
      <c r="L56" s="31"/>
      <c r="M56" s="31"/>
      <c r="N56" s="536"/>
    </row>
    <row r="57" spans="1:14" s="370" customFormat="1">
      <c r="A57" s="557" t="s">
        <v>1010</v>
      </c>
      <c r="B57" s="558">
        <f>F45</f>
        <v>1345</v>
      </c>
      <c r="C57" s="555"/>
      <c r="D57" s="556"/>
      <c r="E57" s="556"/>
      <c r="F57" s="556"/>
      <c r="G57" s="551"/>
      <c r="H57" s="31"/>
      <c r="I57" s="31"/>
      <c r="J57" s="31"/>
      <c r="K57" s="31"/>
      <c r="L57" s="31"/>
      <c r="M57" s="31"/>
      <c r="N57" s="536"/>
    </row>
    <row r="58" spans="1:14" s="370" customFormat="1">
      <c r="A58" s="559" t="s">
        <v>259</v>
      </c>
      <c r="B58" s="560">
        <f>B57-B56</f>
        <v>-535</v>
      </c>
      <c r="C58" s="555"/>
      <c r="D58" s="556"/>
      <c r="E58" s="556"/>
      <c r="F58" s="556"/>
      <c r="G58" s="551"/>
      <c r="H58" s="31"/>
      <c r="I58" s="31"/>
      <c r="J58" s="31"/>
      <c r="K58" s="31"/>
      <c r="L58" s="31"/>
      <c r="M58" s="31"/>
      <c r="N58" s="536"/>
    </row>
    <row r="59" spans="1:14" s="370" customFormat="1">
      <c r="A59" s="559" t="s">
        <v>260</v>
      </c>
      <c r="B59" s="561">
        <f>B58/B56</f>
        <v>-0.28457446808510639</v>
      </c>
      <c r="C59" s="555"/>
      <c r="D59" s="556"/>
      <c r="E59" s="556"/>
      <c r="F59" s="556"/>
      <c r="G59" s="551"/>
      <c r="H59" s="31"/>
      <c r="I59" s="31"/>
      <c r="J59" s="31"/>
      <c r="K59" s="31"/>
      <c r="L59" s="31"/>
      <c r="M59" s="31"/>
      <c r="N59" s="536"/>
    </row>
    <row r="60" spans="1:14" s="370" customFormat="1">
      <c r="A60" s="562"/>
      <c r="B60" s="556"/>
      <c r="C60" s="660"/>
      <c r="D60" s="556"/>
      <c r="E60" s="556"/>
      <c r="F60" s="556"/>
      <c r="G60" s="551"/>
      <c r="H60" s="31"/>
      <c r="I60" s="31"/>
      <c r="J60" s="31"/>
      <c r="K60" s="31"/>
      <c r="L60" s="31"/>
      <c r="M60" s="31"/>
      <c r="N60" s="536"/>
    </row>
    <row r="61" spans="1:14" s="29" customFormat="1">
      <c r="A61" s="936" t="s">
        <v>261</v>
      </c>
      <c r="B61" s="937"/>
      <c r="C61" s="937"/>
      <c r="D61" s="937"/>
      <c r="E61" s="937"/>
      <c r="F61" s="937"/>
      <c r="G61" s="733"/>
      <c r="H61" s="737"/>
      <c r="I61" s="737"/>
      <c r="J61" s="737"/>
      <c r="K61" s="737"/>
      <c r="L61" s="737"/>
      <c r="M61" s="737"/>
      <c r="N61" s="745"/>
    </row>
    <row r="62" spans="1:14" s="29" customFormat="1" ht="28.4" customHeight="1">
      <c r="A62" s="1022" t="s">
        <v>604</v>
      </c>
      <c r="B62" s="1023"/>
      <c r="C62" s="1023"/>
      <c r="D62" s="1023"/>
      <c r="E62" s="1023"/>
      <c r="F62" s="1024"/>
      <c r="G62" s="733"/>
      <c r="H62" s="737"/>
      <c r="I62" s="737"/>
      <c r="J62" s="737"/>
      <c r="K62" s="737"/>
      <c r="L62" s="737"/>
      <c r="M62" s="737"/>
      <c r="N62" s="745"/>
    </row>
    <row r="63" spans="1:14" s="29" customFormat="1">
      <c r="A63" s="734"/>
      <c r="B63" s="735"/>
      <c r="C63" s="735"/>
      <c r="D63" s="735"/>
      <c r="E63" s="735"/>
      <c r="F63" s="735"/>
      <c r="G63" s="733"/>
      <c r="H63" s="737"/>
      <c r="I63" s="737"/>
      <c r="J63" s="737"/>
      <c r="K63" s="737"/>
      <c r="L63" s="737"/>
      <c r="M63" s="737"/>
      <c r="N63" s="745"/>
    </row>
    <row r="64" spans="1:14" s="29" customFormat="1">
      <c r="A64" s="736" t="s">
        <v>262</v>
      </c>
      <c r="B64" s="737"/>
      <c r="C64" s="738"/>
      <c r="D64" s="737"/>
      <c r="E64" s="737"/>
      <c r="F64" s="737"/>
      <c r="G64" s="733"/>
      <c r="H64" s="737"/>
      <c r="I64" s="737"/>
      <c r="J64" s="737"/>
      <c r="K64" s="737"/>
      <c r="L64" s="737"/>
      <c r="M64" s="737"/>
      <c r="N64" s="745"/>
    </row>
    <row r="65" spans="1:14" s="29" customFormat="1">
      <c r="A65" s="990"/>
      <c r="B65" s="991"/>
      <c r="C65" s="991"/>
      <c r="D65" s="991"/>
      <c r="E65" s="991"/>
      <c r="F65" s="992"/>
      <c r="G65" s="733"/>
      <c r="H65" s="737"/>
      <c r="I65" s="737"/>
      <c r="J65" s="737"/>
      <c r="K65" s="737"/>
      <c r="L65" s="737"/>
      <c r="M65" s="737"/>
      <c r="N65" s="745"/>
    </row>
    <row r="66" spans="1:14" s="29" customFormat="1">
      <c r="A66" s="739"/>
      <c r="B66" s="737"/>
      <c r="C66" s="738"/>
      <c r="D66" s="737"/>
      <c r="E66" s="737"/>
      <c r="F66" s="737"/>
      <c r="G66" s="733"/>
      <c r="H66" s="737"/>
      <c r="I66" s="737"/>
      <c r="J66" s="737"/>
      <c r="K66" s="737"/>
      <c r="L66" s="737"/>
      <c r="M66" s="737"/>
      <c r="N66" s="745"/>
    </row>
    <row r="67" spans="1:14" s="29" customFormat="1">
      <c r="A67" s="936" t="s">
        <v>1020</v>
      </c>
      <c r="B67" s="937"/>
      <c r="C67" s="937"/>
      <c r="D67" s="937"/>
      <c r="E67" s="937"/>
      <c r="F67" s="937"/>
      <c r="G67" s="733"/>
      <c r="H67" s="737"/>
      <c r="I67" s="737"/>
      <c r="J67" s="737"/>
      <c r="K67" s="737"/>
      <c r="L67" s="737"/>
      <c r="M67" s="737"/>
      <c r="N67" s="745"/>
    </row>
    <row r="68" spans="1:14" s="29" customFormat="1">
      <c r="A68" s="941" t="s">
        <v>1021</v>
      </c>
      <c r="B68" s="942"/>
      <c r="C68" s="942"/>
      <c r="D68" s="942"/>
      <c r="E68" s="942"/>
      <c r="F68" s="942"/>
      <c r="G68" s="733"/>
      <c r="H68" s="737"/>
      <c r="I68" s="737"/>
      <c r="J68" s="737"/>
      <c r="K68" s="737"/>
      <c r="L68" s="737"/>
      <c r="M68" s="737"/>
      <c r="N68" s="745"/>
    </row>
    <row r="69" spans="1:14" s="29" customFormat="1" ht="33.5" customHeight="1">
      <c r="A69" s="938" t="s">
        <v>911</v>
      </c>
      <c r="B69" s="939"/>
      <c r="C69" s="939"/>
      <c r="D69" s="939"/>
      <c r="E69" s="939"/>
      <c r="F69" s="940"/>
      <c r="G69" s="733"/>
      <c r="H69" s="737"/>
      <c r="I69" s="737"/>
      <c r="J69" s="737"/>
      <c r="K69" s="737"/>
      <c r="L69" s="737"/>
      <c r="M69" s="737"/>
      <c r="N69" s="745"/>
    </row>
    <row r="70" spans="1:14" s="29" customFormat="1">
      <c r="A70" s="736"/>
      <c r="B70" s="737"/>
      <c r="C70" s="738"/>
      <c r="D70" s="737"/>
      <c r="E70" s="737"/>
      <c r="F70" s="737"/>
      <c r="G70" s="733"/>
      <c r="H70" s="737"/>
      <c r="I70" s="737"/>
      <c r="J70" s="737"/>
      <c r="K70" s="737"/>
      <c r="L70" s="737"/>
      <c r="M70" s="737"/>
      <c r="N70" s="745"/>
    </row>
    <row r="71" spans="1:14" s="29" customFormat="1">
      <c r="A71" s="936" t="s">
        <v>264</v>
      </c>
      <c r="B71" s="937"/>
      <c r="C71" s="937"/>
      <c r="D71" s="937"/>
      <c r="E71" s="937"/>
      <c r="F71" s="737"/>
      <c r="G71" s="733"/>
      <c r="H71" s="737"/>
      <c r="I71" s="737"/>
      <c r="J71" s="737"/>
      <c r="K71" s="737"/>
      <c r="L71" s="737"/>
      <c r="M71" s="737"/>
      <c r="N71" s="745"/>
    </row>
    <row r="72" spans="1:14" s="29" customFormat="1">
      <c r="A72" s="989"/>
      <c r="B72" s="946"/>
      <c r="C72" s="946"/>
      <c r="D72" s="946"/>
      <c r="E72" s="946"/>
      <c r="F72" s="947"/>
      <c r="G72" s="733"/>
      <c r="H72" s="737"/>
      <c r="I72" s="737"/>
      <c r="J72" s="737"/>
      <c r="K72" s="737"/>
      <c r="L72" s="737"/>
      <c r="M72" s="737"/>
      <c r="N72" s="745"/>
    </row>
    <row r="73" spans="1:14" s="29" customFormat="1">
      <c r="A73" s="739"/>
      <c r="B73" s="737"/>
      <c r="C73" s="738"/>
      <c r="D73" s="737"/>
      <c r="E73" s="737"/>
      <c r="F73" s="737"/>
      <c r="G73" s="733"/>
      <c r="H73" s="737"/>
      <c r="I73" s="737"/>
      <c r="J73" s="737"/>
      <c r="K73" s="737"/>
      <c r="L73" s="737"/>
      <c r="M73" s="737"/>
      <c r="N73" s="745"/>
    </row>
    <row r="74" spans="1:14" s="29" customFormat="1">
      <c r="A74" s="736" t="s">
        <v>265</v>
      </c>
      <c r="B74" s="737"/>
      <c r="C74" s="738"/>
      <c r="D74" s="737"/>
      <c r="E74" s="737"/>
      <c r="F74" s="737"/>
      <c r="G74" s="733"/>
      <c r="H74" s="737"/>
      <c r="I74" s="737"/>
      <c r="J74" s="737"/>
      <c r="K74" s="737"/>
      <c r="L74" s="737"/>
      <c r="M74" s="737"/>
      <c r="N74" s="745"/>
    </row>
    <row r="75" spans="1:14" s="29" customFormat="1">
      <c r="A75" s="740" t="s">
        <v>266</v>
      </c>
      <c r="B75" s="737"/>
      <c r="C75" s="738"/>
      <c r="D75" s="737"/>
      <c r="E75" s="737"/>
      <c r="F75" s="737"/>
      <c r="G75" s="733"/>
      <c r="H75" s="737"/>
      <c r="I75" s="737"/>
      <c r="J75" s="737"/>
      <c r="K75" s="737"/>
      <c r="L75" s="737"/>
      <c r="M75" s="737"/>
      <c r="N75" s="745"/>
    </row>
    <row r="76" spans="1:14" s="29" customFormat="1" ht="26.25" customHeight="1">
      <c r="A76" s="948" t="s">
        <v>1030</v>
      </c>
      <c r="B76" s="949"/>
      <c r="C76" s="949"/>
      <c r="D76" s="949"/>
      <c r="E76" s="949"/>
      <c r="F76" s="949"/>
      <c r="G76" s="733"/>
      <c r="H76" s="737"/>
      <c r="I76" s="737"/>
      <c r="J76" s="737"/>
      <c r="K76" s="737"/>
      <c r="L76" s="737"/>
      <c r="M76" s="737"/>
      <c r="N76" s="745"/>
    </row>
    <row r="77" spans="1:14" s="29" customFormat="1">
      <c r="A77" s="1025"/>
      <c r="B77" s="1020"/>
      <c r="C77" s="1020"/>
      <c r="D77" s="1020"/>
      <c r="E77" s="1020"/>
      <c r="F77" s="1021"/>
      <c r="G77" s="733"/>
      <c r="H77" s="737"/>
      <c r="I77" s="737"/>
      <c r="J77" s="737"/>
      <c r="K77" s="737"/>
      <c r="L77" s="737"/>
      <c r="M77" s="737"/>
      <c r="N77" s="745"/>
    </row>
    <row r="78" spans="1:14" s="29" customFormat="1">
      <c r="A78" s="950"/>
      <c r="B78" s="951"/>
      <c r="C78" s="951"/>
      <c r="D78" s="951"/>
      <c r="E78" s="951"/>
      <c r="F78" s="951"/>
      <c r="G78" s="733"/>
      <c r="H78" s="737"/>
      <c r="I78" s="737"/>
      <c r="J78" s="737"/>
      <c r="K78" s="737"/>
      <c r="L78" s="737"/>
      <c r="M78" s="737"/>
      <c r="N78" s="745"/>
    </row>
    <row r="79" spans="1:14" s="29" customFormat="1">
      <c r="A79" s="740" t="s">
        <v>268</v>
      </c>
      <c r="B79" s="737"/>
      <c r="C79" s="738"/>
      <c r="D79" s="737"/>
      <c r="E79" s="737"/>
      <c r="F79" s="737"/>
      <c r="G79" s="733"/>
      <c r="H79" s="737"/>
      <c r="I79" s="737"/>
      <c r="J79" s="737"/>
      <c r="K79" s="737"/>
      <c r="L79" s="737"/>
      <c r="M79" s="737"/>
      <c r="N79" s="745"/>
    </row>
    <row r="80" spans="1:14" s="29" customFormat="1" ht="28.9" customHeight="1">
      <c r="A80" s="948" t="s">
        <v>269</v>
      </c>
      <c r="B80" s="949"/>
      <c r="C80" s="949"/>
      <c r="D80" s="949"/>
      <c r="E80" s="949"/>
      <c r="F80" s="949"/>
      <c r="G80" s="733"/>
      <c r="H80" s="737"/>
      <c r="I80" s="737"/>
      <c r="J80" s="737"/>
      <c r="K80" s="737"/>
      <c r="L80" s="737"/>
      <c r="M80" s="737"/>
      <c r="N80" s="745"/>
    </row>
    <row r="81" spans="1:14" s="29" customFormat="1" ht="30.75" customHeight="1">
      <c r="A81" s="943" t="s">
        <v>912</v>
      </c>
      <c r="B81" s="944"/>
      <c r="C81" s="944"/>
      <c r="D81" s="944"/>
      <c r="E81" s="944"/>
      <c r="F81" s="945"/>
      <c r="G81" s="733"/>
      <c r="H81" s="737"/>
      <c r="I81" s="737"/>
      <c r="J81" s="737"/>
      <c r="K81" s="737"/>
      <c r="L81" s="737"/>
      <c r="M81" s="737"/>
      <c r="N81" s="745"/>
    </row>
    <row r="82" spans="1:14" s="29" customFormat="1" ht="15" thickBot="1">
      <c r="A82" s="741"/>
      <c r="B82" s="742"/>
      <c r="C82" s="743"/>
      <c r="D82" s="742"/>
      <c r="E82" s="742"/>
      <c r="F82" s="742"/>
      <c r="G82" s="744"/>
      <c r="H82" s="737"/>
      <c r="I82" s="737"/>
      <c r="J82" s="737"/>
      <c r="K82" s="737"/>
      <c r="L82" s="737"/>
      <c r="M82" s="737"/>
      <c r="N82" s="745"/>
    </row>
    <row r="83" spans="1:14" s="29" customFormat="1">
      <c r="A83" s="737"/>
      <c r="B83" s="737"/>
      <c r="C83" s="738"/>
      <c r="D83" s="737"/>
      <c r="E83" s="737"/>
      <c r="F83" s="737"/>
      <c r="G83" s="737"/>
      <c r="H83" s="737"/>
      <c r="I83" s="737"/>
      <c r="J83" s="737"/>
      <c r="K83" s="737"/>
      <c r="L83" s="737"/>
      <c r="M83" s="737"/>
      <c r="N83" s="745"/>
    </row>
    <row r="84" spans="1:14" s="29" customFormat="1">
      <c r="C84" s="66"/>
    </row>
    <row r="85" spans="1:14" s="29" customFormat="1">
      <c r="C85" s="66"/>
    </row>
    <row r="86" spans="1:14" s="29" customFormat="1">
      <c r="C86" s="66"/>
    </row>
    <row r="87" spans="1:14" s="29" customFormat="1">
      <c r="C87" s="66"/>
    </row>
    <row r="88" spans="1:14" s="29" customFormat="1">
      <c r="C88" s="66"/>
    </row>
    <row r="89" spans="1:14" s="29" customFormat="1">
      <c r="C89" s="66"/>
    </row>
    <row r="90" spans="1:14" s="29" customFormat="1">
      <c r="C90" s="66"/>
    </row>
    <row r="91" spans="1:14" s="29" customFormat="1">
      <c r="C91" s="66"/>
    </row>
    <row r="92" spans="1:14" s="29" customFormat="1">
      <c r="C92" s="66"/>
    </row>
    <row r="93" spans="1:14" s="29" customFormat="1">
      <c r="C93" s="66"/>
    </row>
    <row r="94" spans="1:14" s="29" customFormat="1">
      <c r="C94" s="66"/>
    </row>
    <row r="95" spans="1:14" s="29" customFormat="1">
      <c r="C95" s="66"/>
    </row>
    <row r="96" spans="1:14" s="29" customFormat="1">
      <c r="C96" s="66"/>
    </row>
    <row r="97" spans="3:3" s="29" customFormat="1">
      <c r="C97" s="66"/>
    </row>
    <row r="98" spans="3:3" s="29" customFormat="1">
      <c r="C98" s="66"/>
    </row>
    <row r="99" spans="3:3" s="29" customFormat="1">
      <c r="C99" s="66"/>
    </row>
    <row r="100" spans="3:3" s="29" customFormat="1">
      <c r="C100" s="66"/>
    </row>
    <row r="101" spans="3:3" s="370" customFormat="1">
      <c r="C101" s="661"/>
    </row>
    <row r="102" spans="3:3" s="370" customFormat="1">
      <c r="C102" s="661"/>
    </row>
    <row r="103" spans="3:3" s="370" customFormat="1">
      <c r="C103" s="661"/>
    </row>
    <row r="104" spans="3:3" s="370" customFormat="1">
      <c r="C104" s="661"/>
    </row>
    <row r="105" spans="3:3" s="370" customFormat="1">
      <c r="C105" s="661"/>
    </row>
    <row r="106" spans="3:3" s="370" customFormat="1">
      <c r="C106" s="661"/>
    </row>
    <row r="107" spans="3:3" s="370" customFormat="1">
      <c r="C107" s="661"/>
    </row>
    <row r="108" spans="3:3" s="370" customFormat="1">
      <c r="C108" s="661"/>
    </row>
    <row r="109" spans="3:3" s="370" customFormat="1">
      <c r="C109" s="661"/>
    </row>
    <row r="110" spans="3:3" s="370" customFormat="1">
      <c r="C110" s="661"/>
    </row>
    <row r="111" spans="3:3" s="370" customFormat="1">
      <c r="C111" s="661"/>
    </row>
    <row r="112" spans="3:3" s="370" customFormat="1">
      <c r="C112" s="661"/>
    </row>
    <row r="113" spans="3:3" s="370" customFormat="1">
      <c r="C113" s="661"/>
    </row>
    <row r="114" spans="3:3" s="370" customFormat="1">
      <c r="C114" s="661"/>
    </row>
    <row r="115" spans="3:3" s="370" customFormat="1">
      <c r="C115" s="661"/>
    </row>
    <row r="116" spans="3:3" s="370" customFormat="1">
      <c r="C116" s="661"/>
    </row>
    <row r="117" spans="3:3" s="370" customFormat="1">
      <c r="C117" s="661"/>
    </row>
    <row r="118" spans="3:3" s="370" customFormat="1">
      <c r="C118" s="661"/>
    </row>
    <row r="119" spans="3:3" s="370" customFormat="1">
      <c r="C119" s="661"/>
    </row>
    <row r="120" spans="3:3" s="370" customFormat="1">
      <c r="C120" s="661"/>
    </row>
    <row r="121" spans="3:3" s="370" customFormat="1">
      <c r="C121" s="661"/>
    </row>
    <row r="122" spans="3:3" s="370" customFormat="1">
      <c r="C122" s="661"/>
    </row>
    <row r="123" spans="3:3" s="370" customFormat="1">
      <c r="C123" s="661"/>
    </row>
    <row r="124" spans="3:3" s="370" customFormat="1">
      <c r="C124" s="661"/>
    </row>
    <row r="125" spans="3:3" s="370" customFormat="1">
      <c r="C125" s="661"/>
    </row>
    <row r="126" spans="3:3" s="370" customFormat="1">
      <c r="C126" s="661"/>
    </row>
    <row r="127" spans="3:3" s="370" customFormat="1">
      <c r="C127" s="661"/>
    </row>
    <row r="128" spans="3:3" s="370" customFormat="1">
      <c r="C128" s="661"/>
    </row>
    <row r="129" spans="3:3" s="370" customFormat="1">
      <c r="C129" s="661"/>
    </row>
    <row r="130" spans="3:3" s="370" customFormat="1">
      <c r="C130" s="661"/>
    </row>
    <row r="131" spans="3:3" s="370" customFormat="1">
      <c r="C131" s="661"/>
    </row>
    <row r="132" spans="3:3" s="370" customFormat="1">
      <c r="C132" s="661"/>
    </row>
    <row r="133" spans="3:3" s="370" customFormat="1">
      <c r="C133" s="661"/>
    </row>
    <row r="134" spans="3:3" s="370" customFormat="1">
      <c r="C134" s="661"/>
    </row>
    <row r="135" spans="3:3" s="370" customFormat="1">
      <c r="C135" s="661"/>
    </row>
    <row r="136" spans="3:3" s="370" customFormat="1">
      <c r="C136" s="661"/>
    </row>
    <row r="137" spans="3:3" s="370" customFormat="1">
      <c r="C137" s="661"/>
    </row>
    <row r="138" spans="3:3" s="370" customFormat="1">
      <c r="C138" s="661"/>
    </row>
    <row r="139" spans="3:3" s="370" customFormat="1">
      <c r="C139" s="661"/>
    </row>
    <row r="140" spans="3:3" s="370" customFormat="1">
      <c r="C140" s="661"/>
    </row>
    <row r="141" spans="3:3" s="370" customFormat="1">
      <c r="C141" s="661"/>
    </row>
    <row r="142" spans="3:3" s="370" customFormat="1">
      <c r="C142" s="661"/>
    </row>
    <row r="143" spans="3:3" s="370" customFormat="1">
      <c r="C143" s="661"/>
    </row>
    <row r="144" spans="3:3" s="370" customFormat="1">
      <c r="C144" s="661"/>
    </row>
    <row r="145" spans="3:3" s="370" customFormat="1">
      <c r="C145" s="661"/>
    </row>
    <row r="146" spans="3:3" s="370" customFormat="1">
      <c r="C146" s="661"/>
    </row>
    <row r="147" spans="3:3" s="370" customFormat="1">
      <c r="C147" s="661"/>
    </row>
    <row r="148" spans="3:3" s="370" customFormat="1">
      <c r="C148" s="661"/>
    </row>
    <row r="149" spans="3:3" s="370" customFormat="1">
      <c r="C149" s="661"/>
    </row>
    <row r="150" spans="3:3" s="370" customFormat="1">
      <c r="C150" s="661"/>
    </row>
    <row r="151" spans="3:3" s="370" customFormat="1">
      <c r="C151" s="661"/>
    </row>
    <row r="152" spans="3:3" s="370" customFormat="1">
      <c r="C152" s="661"/>
    </row>
    <row r="153" spans="3:3" s="370" customFormat="1">
      <c r="C153" s="661"/>
    </row>
    <row r="154" spans="3:3" s="370" customFormat="1">
      <c r="C154" s="661"/>
    </row>
    <row r="155" spans="3:3" s="370" customFormat="1">
      <c r="C155" s="661"/>
    </row>
    <row r="156" spans="3:3" s="370" customFormat="1">
      <c r="C156" s="661"/>
    </row>
    <row r="157" spans="3:3" s="370" customFormat="1">
      <c r="C157" s="661"/>
    </row>
    <row r="158" spans="3:3" s="370" customFormat="1">
      <c r="C158" s="661"/>
    </row>
    <row r="159" spans="3:3" s="370" customFormat="1">
      <c r="C159" s="661"/>
    </row>
    <row r="160" spans="3:3" s="370" customFormat="1">
      <c r="C160" s="661"/>
    </row>
    <row r="161" spans="3:3" s="370" customFormat="1">
      <c r="C161" s="661"/>
    </row>
    <row r="162" spans="3:3" s="370" customFormat="1">
      <c r="C162" s="661"/>
    </row>
    <row r="163" spans="3:3" s="370" customFormat="1">
      <c r="C163" s="661"/>
    </row>
    <row r="164" spans="3:3" s="370" customFormat="1">
      <c r="C164" s="661"/>
    </row>
    <row r="165" spans="3:3" s="370" customFormat="1">
      <c r="C165" s="661"/>
    </row>
    <row r="166" spans="3:3" s="370" customFormat="1">
      <c r="C166" s="661"/>
    </row>
    <row r="167" spans="3:3" s="370" customFormat="1">
      <c r="C167" s="661"/>
    </row>
    <row r="168" spans="3:3" s="370" customFormat="1">
      <c r="C168" s="661"/>
    </row>
    <row r="169" spans="3:3" s="370" customFormat="1">
      <c r="C169" s="661"/>
    </row>
    <row r="170" spans="3:3" s="370" customFormat="1">
      <c r="C170" s="661"/>
    </row>
    <row r="171" spans="3:3" s="370" customFormat="1">
      <c r="C171" s="661"/>
    </row>
  </sheetData>
  <mergeCells count="17">
    <mergeCell ref="A80:F80"/>
    <mergeCell ref="A81:F81"/>
    <mergeCell ref="A71:E71"/>
    <mergeCell ref="A72:F72"/>
    <mergeCell ref="A76:F76"/>
    <mergeCell ref="A77:F77"/>
    <mergeCell ref="A78:F78"/>
    <mergeCell ref="A62:F62"/>
    <mergeCell ref="A65:F65"/>
    <mergeCell ref="A67:F67"/>
    <mergeCell ref="A68:F68"/>
    <mergeCell ref="A69:F69"/>
    <mergeCell ref="A1:N1"/>
    <mergeCell ref="A53:F53"/>
    <mergeCell ref="A54:F54"/>
    <mergeCell ref="A55:B55"/>
    <mergeCell ref="A61:F61"/>
  </mergeCells>
  <printOptions horizontalCentered="1"/>
  <pageMargins left="0.2" right="0.2" top="0.75" bottom="0.75" header="0.3" footer="0.3"/>
  <pageSetup scale="61" orientation="landscape" r:id="rId1"/>
  <headerFooter>
    <oddHeader xml:space="preserve">&amp;CDRAFT NOT FOR DISTRIBUTION, INTERNAL USE ONLY
</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249977111117893"/>
    <pageSetUpPr fitToPage="1"/>
  </sheetPr>
  <dimension ref="A1:N102"/>
  <sheetViews>
    <sheetView zoomScale="99" zoomScaleNormal="99" workbookViewId="0">
      <selection sqref="A1:N1"/>
    </sheetView>
  </sheetViews>
  <sheetFormatPr defaultRowHeight="14.5"/>
  <cols>
    <col min="1" max="1" width="46.54296875" customWidth="1"/>
    <col min="2" max="2" width="16" customWidth="1"/>
    <col min="3" max="3" width="7.7265625" style="30" customWidth="1"/>
    <col min="4" max="4" width="8.7265625" customWidth="1"/>
    <col min="5" max="5" width="10.7265625" customWidth="1"/>
    <col min="6" max="6" width="11.453125"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40" customWidth="1"/>
  </cols>
  <sheetData>
    <row r="1" spans="1:14" ht="15.5">
      <c r="A1" s="854" t="s">
        <v>270</v>
      </c>
      <c r="B1" s="854"/>
      <c r="C1" s="854"/>
      <c r="D1" s="854"/>
      <c r="E1" s="854"/>
      <c r="F1" s="854"/>
      <c r="G1" s="854"/>
      <c r="H1" s="854"/>
      <c r="I1" s="854"/>
      <c r="J1" s="854"/>
      <c r="K1" s="854"/>
      <c r="L1" s="854"/>
      <c r="M1" s="854"/>
      <c r="N1" s="854"/>
    </row>
    <row r="2" spans="1:14">
      <c r="A2" s="702" t="s">
        <v>765</v>
      </c>
      <c r="B2" s="65"/>
      <c r="C2" s="66"/>
      <c r="D2" s="29"/>
      <c r="E2" s="370"/>
      <c r="F2" s="370"/>
      <c r="G2" s="370"/>
      <c r="H2" s="370"/>
      <c r="I2" s="370"/>
      <c r="J2" s="370"/>
      <c r="K2" s="370"/>
      <c r="L2" s="370"/>
      <c r="M2" s="370"/>
      <c r="N2" s="370"/>
    </row>
    <row r="3" spans="1:14">
      <c r="A3" s="506" t="s">
        <v>818</v>
      </c>
      <c r="B3" s="370"/>
      <c r="C3" s="639"/>
      <c r="D3" s="370"/>
      <c r="E3" s="370"/>
      <c r="F3" s="451" t="s">
        <v>210</v>
      </c>
      <c r="G3" s="370"/>
      <c r="H3" s="370"/>
      <c r="I3" s="370"/>
      <c r="J3" s="370"/>
      <c r="K3" s="370"/>
      <c r="L3" s="370"/>
      <c r="M3" s="370"/>
      <c r="N3" s="370"/>
    </row>
    <row r="4" spans="1:14">
      <c r="A4" s="506" t="s">
        <v>1278</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610</v>
      </c>
      <c r="B7" s="668" t="s">
        <v>1065</v>
      </c>
      <c r="C7" s="37" t="s">
        <v>218</v>
      </c>
      <c r="D7" s="39">
        <v>1</v>
      </c>
      <c r="E7" s="258">
        <v>173</v>
      </c>
      <c r="F7" s="303">
        <f t="shared" ref="F7:F8" si="0">SUM(G7:M7)</f>
        <v>195</v>
      </c>
      <c r="G7" s="304">
        <v>0</v>
      </c>
      <c r="H7" s="304">
        <v>195</v>
      </c>
      <c r="I7" s="304">
        <v>0</v>
      </c>
      <c r="J7" s="304">
        <v>0</v>
      </c>
      <c r="K7" s="304">
        <v>0</v>
      </c>
      <c r="L7" s="304">
        <v>0</v>
      </c>
      <c r="M7" s="305">
        <v>0</v>
      </c>
      <c r="N7" s="538" t="s">
        <v>871</v>
      </c>
    </row>
    <row r="8" spans="1:14" ht="15" customHeight="1">
      <c r="A8" s="36" t="s">
        <v>608</v>
      </c>
      <c r="B8" s="669" t="s">
        <v>609</v>
      </c>
      <c r="C8" s="37" t="s">
        <v>218</v>
      </c>
      <c r="D8" s="39">
        <v>1</v>
      </c>
      <c r="E8" s="258">
        <v>139</v>
      </c>
      <c r="F8" s="303">
        <f t="shared" si="0"/>
        <v>152</v>
      </c>
      <c r="G8" s="304">
        <v>0</v>
      </c>
      <c r="H8" s="304">
        <v>152</v>
      </c>
      <c r="I8" s="304">
        <v>0</v>
      </c>
      <c r="J8" s="304">
        <v>0</v>
      </c>
      <c r="K8" s="304">
        <v>0</v>
      </c>
      <c r="L8" s="304">
        <v>0</v>
      </c>
      <c r="M8" s="305">
        <v>0</v>
      </c>
      <c r="N8" s="538" t="s">
        <v>871</v>
      </c>
    </row>
    <row r="9" spans="1:14" ht="25">
      <c r="A9" s="36" t="s">
        <v>607</v>
      </c>
      <c r="B9" s="806" t="s">
        <v>1279</v>
      </c>
      <c r="C9" s="37" t="s">
        <v>218</v>
      </c>
      <c r="D9" s="39">
        <v>1</v>
      </c>
      <c r="E9" s="258">
        <v>123</v>
      </c>
      <c r="F9" s="303">
        <f t="shared" ref="F9:F13" si="1">SUM(G9:M9)</f>
        <v>160</v>
      </c>
      <c r="G9" s="304">
        <v>0</v>
      </c>
      <c r="H9" s="304">
        <v>160</v>
      </c>
      <c r="I9" s="304">
        <v>0</v>
      </c>
      <c r="J9" s="304">
        <v>0</v>
      </c>
      <c r="K9" s="304">
        <v>0</v>
      </c>
      <c r="L9" s="304">
        <v>0</v>
      </c>
      <c r="M9" s="305">
        <v>0</v>
      </c>
      <c r="N9" s="538" t="s">
        <v>871</v>
      </c>
    </row>
    <row r="10" spans="1:14">
      <c r="A10" s="36" t="s">
        <v>605</v>
      </c>
      <c r="B10" s="670" t="s">
        <v>606</v>
      </c>
      <c r="C10" s="37" t="s">
        <v>218</v>
      </c>
      <c r="D10" s="38">
        <v>1</v>
      </c>
      <c r="E10" s="258">
        <v>168</v>
      </c>
      <c r="F10" s="303">
        <f t="shared" si="1"/>
        <v>195</v>
      </c>
      <c r="G10" s="304">
        <v>0</v>
      </c>
      <c r="H10" s="304">
        <v>195</v>
      </c>
      <c r="I10" s="304">
        <v>0</v>
      </c>
      <c r="J10" s="304">
        <v>0</v>
      </c>
      <c r="K10" s="304">
        <v>0</v>
      </c>
      <c r="L10" s="304">
        <v>0</v>
      </c>
      <c r="M10" s="305">
        <v>0</v>
      </c>
      <c r="N10" s="538" t="s">
        <v>871</v>
      </c>
    </row>
    <row r="11" spans="1:14" ht="60" customHeight="1">
      <c r="A11" s="57" t="s">
        <v>863</v>
      </c>
      <c r="B11" s="57" t="s">
        <v>864</v>
      </c>
      <c r="C11" s="37" t="s">
        <v>218</v>
      </c>
      <c r="D11" s="39">
        <v>0.5</v>
      </c>
      <c r="E11" s="258">
        <v>49</v>
      </c>
      <c r="F11" s="303">
        <f t="shared" si="1"/>
        <v>82</v>
      </c>
      <c r="G11" s="304"/>
      <c r="H11" s="304">
        <v>82</v>
      </c>
      <c r="I11" s="304"/>
      <c r="J11" s="304"/>
      <c r="K11" s="304">
        <v>0</v>
      </c>
      <c r="L11" s="304"/>
      <c r="M11" s="305"/>
      <c r="N11" s="318" t="s">
        <v>865</v>
      </c>
    </row>
    <row r="12" spans="1:14" ht="75" customHeight="1">
      <c r="A12" s="36" t="s">
        <v>866</v>
      </c>
      <c r="B12" s="36" t="s">
        <v>867</v>
      </c>
      <c r="C12" s="37" t="s">
        <v>218</v>
      </c>
      <c r="D12" s="38">
        <v>0.25</v>
      </c>
      <c r="E12" s="258">
        <v>37</v>
      </c>
      <c r="F12" s="303">
        <f t="shared" si="1"/>
        <v>53</v>
      </c>
      <c r="G12" s="304"/>
      <c r="H12" s="304">
        <v>53</v>
      </c>
      <c r="I12" s="304"/>
      <c r="J12" s="304"/>
      <c r="K12" s="304"/>
      <c r="L12" s="304"/>
      <c r="M12" s="305"/>
      <c r="N12" s="318" t="s">
        <v>868</v>
      </c>
    </row>
    <row r="13" spans="1:14" ht="78" customHeight="1">
      <c r="A13" s="36" t="s">
        <v>869</v>
      </c>
      <c r="B13" s="259" t="s">
        <v>1280</v>
      </c>
      <c r="C13" s="37" t="s">
        <v>218</v>
      </c>
      <c r="D13" s="39">
        <v>0.25</v>
      </c>
      <c r="E13" s="258">
        <v>17</v>
      </c>
      <c r="F13" s="303">
        <f t="shared" si="1"/>
        <v>23</v>
      </c>
      <c r="G13" s="304"/>
      <c r="H13" s="304">
        <v>23</v>
      </c>
      <c r="I13" s="304"/>
      <c r="J13" s="304"/>
      <c r="K13" s="304"/>
      <c r="L13" s="304"/>
      <c r="M13" s="305"/>
      <c r="N13" s="318" t="s">
        <v>870</v>
      </c>
    </row>
    <row r="14" spans="1:14" ht="43.5">
      <c r="A14" s="36" t="s">
        <v>1066</v>
      </c>
      <c r="B14" s="259" t="s">
        <v>1067</v>
      </c>
      <c r="C14" s="37" t="s">
        <v>218</v>
      </c>
      <c r="D14" s="39">
        <v>0.25</v>
      </c>
      <c r="E14" s="258">
        <v>0</v>
      </c>
      <c r="F14" s="303">
        <f>SUM(G14:M14)</f>
        <v>41</v>
      </c>
      <c r="G14" s="304">
        <v>0</v>
      </c>
      <c r="H14" s="304">
        <v>41</v>
      </c>
      <c r="I14" s="304">
        <v>0</v>
      </c>
      <c r="J14" s="304">
        <v>0</v>
      </c>
      <c r="K14" s="304">
        <v>0</v>
      </c>
      <c r="L14" s="304">
        <v>0</v>
      </c>
      <c r="M14" s="305">
        <v>0</v>
      </c>
      <c r="N14" s="318" t="s">
        <v>1068</v>
      </c>
    </row>
    <row r="15" spans="1:14" ht="43.5">
      <c r="A15" s="36" t="s">
        <v>1070</v>
      </c>
      <c r="B15" s="260" t="s">
        <v>1071</v>
      </c>
      <c r="C15" s="37" t="s">
        <v>218</v>
      </c>
      <c r="D15" s="39">
        <v>0.25</v>
      </c>
      <c r="E15" s="258">
        <v>0</v>
      </c>
      <c r="F15" s="303">
        <f>SUM(G15:M15)</f>
        <v>0</v>
      </c>
      <c r="G15" s="304">
        <v>0</v>
      </c>
      <c r="H15" s="304">
        <v>0</v>
      </c>
      <c r="I15" s="304">
        <v>0</v>
      </c>
      <c r="J15" s="304">
        <v>0</v>
      </c>
      <c r="K15" s="304">
        <v>0</v>
      </c>
      <c r="L15" s="304">
        <v>0</v>
      </c>
      <c r="M15" s="305">
        <v>0</v>
      </c>
      <c r="N15" s="318" t="s">
        <v>1069</v>
      </c>
    </row>
    <row r="16" spans="1:14">
      <c r="A16" s="40" t="s">
        <v>219</v>
      </c>
      <c r="B16" s="260"/>
      <c r="C16" s="261"/>
      <c r="D16" s="41">
        <f t="shared" ref="D16:M16" si="2">SUM(D7:D15)</f>
        <v>5.5</v>
      </c>
      <c r="E16" s="43">
        <f t="shared" si="2"/>
        <v>706</v>
      </c>
      <c r="F16" s="43">
        <f t="shared" si="2"/>
        <v>901</v>
      </c>
      <c r="G16" s="43">
        <f t="shared" si="2"/>
        <v>0</v>
      </c>
      <c r="H16" s="43">
        <f t="shared" si="2"/>
        <v>901</v>
      </c>
      <c r="I16" s="43">
        <f t="shared" si="2"/>
        <v>0</v>
      </c>
      <c r="J16" s="43">
        <f t="shared" si="2"/>
        <v>0</v>
      </c>
      <c r="K16" s="43">
        <f t="shared" si="2"/>
        <v>0</v>
      </c>
      <c r="L16" s="43">
        <f t="shared" si="2"/>
        <v>0</v>
      </c>
      <c r="M16" s="43">
        <f t="shared" si="2"/>
        <v>0</v>
      </c>
      <c r="N16" s="348"/>
    </row>
    <row r="17" spans="1:14">
      <c r="A17" s="67" t="s">
        <v>220</v>
      </c>
      <c r="B17" s="68"/>
      <c r="C17" s="69"/>
      <c r="D17" s="68"/>
      <c r="E17" s="68"/>
      <c r="F17" s="70"/>
      <c r="G17" s="70"/>
      <c r="H17" s="70"/>
      <c r="I17" s="70"/>
      <c r="J17" s="70"/>
      <c r="K17" s="70"/>
      <c r="L17" s="70"/>
      <c r="M17" s="70"/>
      <c r="N17" s="70"/>
    </row>
    <row r="18" spans="1:14" s="370" customFormat="1">
      <c r="A18" s="259" t="s">
        <v>278</v>
      </c>
      <c r="B18" s="530" t="s">
        <v>762</v>
      </c>
      <c r="C18" s="44">
        <v>253</v>
      </c>
      <c r="D18" s="45"/>
      <c r="E18" s="258">
        <v>67</v>
      </c>
      <c r="F18" s="350">
        <f>SUM(G18:L18)</f>
        <v>61</v>
      </c>
      <c r="G18" s="304">
        <v>0</v>
      </c>
      <c r="H18" s="304">
        <v>61</v>
      </c>
      <c r="I18" s="304">
        <v>0</v>
      </c>
      <c r="J18" s="304">
        <v>0</v>
      </c>
      <c r="K18" s="304">
        <v>0</v>
      </c>
      <c r="L18" s="304">
        <v>0</v>
      </c>
      <c r="M18" s="305">
        <v>0</v>
      </c>
      <c r="N18" s="348"/>
    </row>
    <row r="19" spans="1:14" s="370" customFormat="1">
      <c r="A19" s="259" t="s">
        <v>278</v>
      </c>
      <c r="B19" s="530" t="s">
        <v>612</v>
      </c>
      <c r="C19" s="44">
        <v>253</v>
      </c>
      <c r="D19" s="45"/>
      <c r="E19" s="258">
        <v>62</v>
      </c>
      <c r="F19" s="350">
        <f>SUM(G19:L19)</f>
        <v>54</v>
      </c>
      <c r="G19" s="304">
        <v>0</v>
      </c>
      <c r="H19" s="304">
        <v>54</v>
      </c>
      <c r="I19" s="304">
        <v>0</v>
      </c>
      <c r="J19" s="304">
        <v>0</v>
      </c>
      <c r="K19" s="304">
        <v>0</v>
      </c>
      <c r="L19" s="304">
        <v>0</v>
      </c>
      <c r="M19" s="305">
        <v>0</v>
      </c>
      <c r="N19" s="319"/>
    </row>
    <row r="20" spans="1:14">
      <c r="A20" s="259" t="s">
        <v>278</v>
      </c>
      <c r="B20" s="530" t="s">
        <v>611</v>
      </c>
      <c r="C20" s="44">
        <v>253</v>
      </c>
      <c r="D20" s="262"/>
      <c r="E20" s="258">
        <v>106</v>
      </c>
      <c r="F20" s="350">
        <f>SUM(G20:L20)</f>
        <v>127</v>
      </c>
      <c r="G20" s="304">
        <v>0</v>
      </c>
      <c r="H20" s="304">
        <v>127</v>
      </c>
      <c r="I20" s="304">
        <v>0</v>
      </c>
      <c r="J20" s="304">
        <v>0</v>
      </c>
      <c r="K20" s="304">
        <v>0</v>
      </c>
      <c r="L20" s="304">
        <v>0</v>
      </c>
      <c r="M20" s="305">
        <v>0</v>
      </c>
      <c r="N20" s="348"/>
    </row>
    <row r="21" spans="1:14" s="7" customFormat="1">
      <c r="A21" s="259" t="s">
        <v>309</v>
      </c>
      <c r="B21" s="259"/>
      <c r="C21" s="44">
        <v>253</v>
      </c>
      <c r="D21" s="262"/>
      <c r="E21" s="258">
        <v>0</v>
      </c>
      <c r="F21" s="350">
        <v>0</v>
      </c>
      <c r="G21" s="304">
        <v>0</v>
      </c>
      <c r="H21" s="304">
        <v>0</v>
      </c>
      <c r="I21" s="304">
        <v>0</v>
      </c>
      <c r="J21" s="304">
        <v>0</v>
      </c>
      <c r="K21" s="304">
        <v>0</v>
      </c>
      <c r="L21" s="304">
        <v>0</v>
      </c>
      <c r="M21" s="305">
        <v>0</v>
      </c>
      <c r="N21" s="319"/>
    </row>
    <row r="22" spans="1:14">
      <c r="A22" s="40" t="s">
        <v>225</v>
      </c>
      <c r="B22" s="260"/>
      <c r="C22" s="261"/>
      <c r="D22" s="262">
        <f>SUM(D18:D21)</f>
        <v>0</v>
      </c>
      <c r="E22" s="42">
        <f>SUM(E18:E21)</f>
        <v>235</v>
      </c>
      <c r="F22" s="43">
        <f>SUM(F18:F21)</f>
        <v>242</v>
      </c>
      <c r="G22" s="43">
        <f t="shared" ref="G22:M22" si="3">SUM(G18:G21)</f>
        <v>0</v>
      </c>
      <c r="H22" s="43">
        <f t="shared" si="3"/>
        <v>242</v>
      </c>
      <c r="I22" s="43">
        <f t="shared" si="3"/>
        <v>0</v>
      </c>
      <c r="J22" s="43">
        <f t="shared" si="3"/>
        <v>0</v>
      </c>
      <c r="K22" s="43">
        <f t="shared" si="3"/>
        <v>0</v>
      </c>
      <c r="L22" s="43">
        <f t="shared" si="3"/>
        <v>0</v>
      </c>
      <c r="M22" s="43">
        <f t="shared" si="3"/>
        <v>0</v>
      </c>
      <c r="N22" s="348"/>
    </row>
    <row r="23" spans="1:14" s="7"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v>14</v>
      </c>
      <c r="F24" s="303">
        <f>SUM(G24:M24)</f>
        <v>15</v>
      </c>
      <c r="G24" s="304">
        <v>0</v>
      </c>
      <c r="H24" s="304">
        <v>15</v>
      </c>
      <c r="I24" s="304">
        <v>0</v>
      </c>
      <c r="J24" s="304">
        <v>0</v>
      </c>
      <c r="K24" s="304">
        <v>0</v>
      </c>
      <c r="L24" s="304">
        <v>0</v>
      </c>
      <c r="M24" s="305">
        <v>0</v>
      </c>
      <c r="N24" s="406" t="s">
        <v>613</v>
      </c>
    </row>
    <row r="25" spans="1:14">
      <c r="A25" s="259" t="s">
        <v>229</v>
      </c>
      <c r="B25" s="36"/>
      <c r="C25" s="44" t="s">
        <v>230</v>
      </c>
      <c r="D25" s="45"/>
      <c r="E25" s="258">
        <v>0</v>
      </c>
      <c r="F25" s="303">
        <f t="shared" ref="F25:F35" si="4">SUM(G25:M25)</f>
        <v>0</v>
      </c>
      <c r="G25" s="304">
        <v>0</v>
      </c>
      <c r="H25" s="304">
        <v>0</v>
      </c>
      <c r="I25" s="304">
        <v>0</v>
      </c>
      <c r="J25" s="304">
        <v>0</v>
      </c>
      <c r="K25" s="304">
        <v>0</v>
      </c>
      <c r="L25" s="304">
        <v>0</v>
      </c>
      <c r="M25" s="305">
        <v>0</v>
      </c>
      <c r="N25" s="348"/>
    </row>
    <row r="26" spans="1:14">
      <c r="A26" s="259" t="s">
        <v>231</v>
      </c>
      <c r="B26" s="36"/>
      <c r="C26" s="44" t="s">
        <v>232</v>
      </c>
      <c r="D26" s="45"/>
      <c r="E26" s="258">
        <v>0</v>
      </c>
      <c r="F26" s="303">
        <f t="shared" si="4"/>
        <v>0</v>
      </c>
      <c r="G26" s="304">
        <v>0</v>
      </c>
      <c r="H26" s="304">
        <v>0</v>
      </c>
      <c r="I26" s="304">
        <v>0</v>
      </c>
      <c r="J26" s="304">
        <v>0</v>
      </c>
      <c r="K26" s="304">
        <v>0</v>
      </c>
      <c r="L26" s="304">
        <v>0</v>
      </c>
      <c r="M26" s="305">
        <v>0</v>
      </c>
      <c r="N26" s="406" t="s">
        <v>614</v>
      </c>
    </row>
    <row r="27" spans="1:14">
      <c r="A27" s="259" t="s">
        <v>233</v>
      </c>
      <c r="B27" s="36"/>
      <c r="C27" s="44" t="s">
        <v>234</v>
      </c>
      <c r="D27" s="45"/>
      <c r="E27" s="258">
        <v>0</v>
      </c>
      <c r="F27" s="303">
        <f t="shared" si="4"/>
        <v>0</v>
      </c>
      <c r="G27" s="304">
        <v>0</v>
      </c>
      <c r="H27" s="304">
        <v>0</v>
      </c>
      <c r="I27" s="304">
        <v>0</v>
      </c>
      <c r="J27" s="304">
        <v>0</v>
      </c>
      <c r="K27" s="304">
        <v>0</v>
      </c>
      <c r="L27" s="304">
        <v>0</v>
      </c>
      <c r="M27" s="305">
        <v>0</v>
      </c>
      <c r="N27" s="348"/>
    </row>
    <row r="28" spans="1:14" ht="72.5">
      <c r="A28" s="259" t="s">
        <v>235</v>
      </c>
      <c r="B28" s="36"/>
      <c r="C28" s="44">
        <v>251</v>
      </c>
      <c r="D28" s="45"/>
      <c r="E28" s="258">
        <v>440</v>
      </c>
      <c r="F28" s="303">
        <f t="shared" si="4"/>
        <v>453</v>
      </c>
      <c r="G28" s="304">
        <v>0</v>
      </c>
      <c r="H28" s="304">
        <v>453</v>
      </c>
      <c r="I28" s="304">
        <v>0</v>
      </c>
      <c r="J28" s="304">
        <v>0</v>
      </c>
      <c r="K28" s="304">
        <v>0</v>
      </c>
      <c r="L28" s="304">
        <v>0</v>
      </c>
      <c r="M28" s="305">
        <v>0</v>
      </c>
      <c r="N28" s="538" t="s">
        <v>1281</v>
      </c>
    </row>
    <row r="29" spans="1:14" ht="87">
      <c r="A29" s="259" t="s">
        <v>242</v>
      </c>
      <c r="B29" s="36"/>
      <c r="C29" s="44">
        <v>252</v>
      </c>
      <c r="D29" s="45"/>
      <c r="E29" s="258">
        <v>391</v>
      </c>
      <c r="F29" s="303">
        <f t="shared" si="4"/>
        <v>244</v>
      </c>
      <c r="G29" s="304">
        <v>0</v>
      </c>
      <c r="H29" s="304">
        <v>244</v>
      </c>
      <c r="I29" s="304">
        <v>0</v>
      </c>
      <c r="J29" s="304">
        <v>0</v>
      </c>
      <c r="K29" s="304">
        <v>0</v>
      </c>
      <c r="L29" s="304">
        <v>0</v>
      </c>
      <c r="M29" s="305">
        <v>0</v>
      </c>
      <c r="N29" s="538" t="s">
        <v>1072</v>
      </c>
    </row>
    <row r="30" spans="1:14">
      <c r="A30" s="259" t="s">
        <v>243</v>
      </c>
      <c r="B30" s="36"/>
      <c r="C30" s="44">
        <v>252</v>
      </c>
      <c r="D30" s="45"/>
      <c r="E30" s="258">
        <v>11</v>
      </c>
      <c r="F30" s="303">
        <f t="shared" si="4"/>
        <v>11</v>
      </c>
      <c r="G30" s="304">
        <v>0</v>
      </c>
      <c r="H30" s="304">
        <v>11</v>
      </c>
      <c r="I30" s="304">
        <v>0</v>
      </c>
      <c r="J30" s="304">
        <v>0</v>
      </c>
      <c r="K30" s="304">
        <v>0</v>
      </c>
      <c r="L30" s="304">
        <v>0</v>
      </c>
      <c r="M30" s="305">
        <v>0</v>
      </c>
      <c r="N30" s="406"/>
    </row>
    <row r="31" spans="1:14">
      <c r="A31" s="259" t="s">
        <v>244</v>
      </c>
      <c r="B31" s="36"/>
      <c r="C31" s="44">
        <v>253</v>
      </c>
      <c r="D31" s="259"/>
      <c r="E31" s="258">
        <v>0</v>
      </c>
      <c r="F31" s="303">
        <f t="shared" si="4"/>
        <v>0</v>
      </c>
      <c r="G31" s="304">
        <v>0</v>
      </c>
      <c r="H31" s="304">
        <v>0</v>
      </c>
      <c r="I31" s="304">
        <v>0</v>
      </c>
      <c r="J31" s="304">
        <v>0</v>
      </c>
      <c r="K31" s="304">
        <v>0</v>
      </c>
      <c r="L31" s="304">
        <v>0</v>
      </c>
      <c r="M31" s="305">
        <v>0</v>
      </c>
      <c r="N31" s="348"/>
    </row>
    <row r="32" spans="1:14">
      <c r="A32" s="259" t="s">
        <v>245</v>
      </c>
      <c r="B32" s="36"/>
      <c r="C32" s="44">
        <v>255</v>
      </c>
      <c r="D32" s="259"/>
      <c r="E32" s="258">
        <v>0</v>
      </c>
      <c r="F32" s="303">
        <f t="shared" si="4"/>
        <v>0</v>
      </c>
      <c r="G32" s="304">
        <v>0</v>
      </c>
      <c r="H32" s="304">
        <v>0</v>
      </c>
      <c r="I32" s="304">
        <v>0</v>
      </c>
      <c r="J32" s="304">
        <v>0</v>
      </c>
      <c r="K32" s="304">
        <v>0</v>
      </c>
      <c r="L32" s="304">
        <v>0</v>
      </c>
      <c r="M32" s="305">
        <v>0</v>
      </c>
      <c r="N32" s="348"/>
    </row>
    <row r="33" spans="1:14">
      <c r="A33" s="259" t="s">
        <v>246</v>
      </c>
      <c r="B33" s="36"/>
      <c r="C33" s="44">
        <v>256</v>
      </c>
      <c r="D33" s="259"/>
      <c r="E33" s="258">
        <v>0</v>
      </c>
      <c r="F33" s="303">
        <f t="shared" si="4"/>
        <v>0</v>
      </c>
      <c r="G33" s="304">
        <v>0</v>
      </c>
      <c r="H33" s="304">
        <v>0</v>
      </c>
      <c r="I33" s="304">
        <v>0</v>
      </c>
      <c r="J33" s="304">
        <v>0</v>
      </c>
      <c r="K33" s="304">
        <v>0</v>
      </c>
      <c r="L33" s="304">
        <v>0</v>
      </c>
      <c r="M33" s="305">
        <v>0</v>
      </c>
      <c r="N33" s="348"/>
    </row>
    <row r="34" spans="1:14" ht="217.5">
      <c r="A34" s="259" t="s">
        <v>247</v>
      </c>
      <c r="B34" s="36"/>
      <c r="C34" s="44">
        <v>257</v>
      </c>
      <c r="D34" s="259"/>
      <c r="E34" s="258">
        <v>100</v>
      </c>
      <c r="F34" s="303">
        <f t="shared" si="4"/>
        <v>100</v>
      </c>
      <c r="G34" s="304">
        <v>0</v>
      </c>
      <c r="H34" s="304">
        <v>100</v>
      </c>
      <c r="I34" s="304">
        <v>0</v>
      </c>
      <c r="J34" s="304">
        <v>0</v>
      </c>
      <c r="K34" s="304">
        <v>0</v>
      </c>
      <c r="L34" s="304">
        <v>0</v>
      </c>
      <c r="M34" s="305">
        <v>0</v>
      </c>
      <c r="N34" s="538" t="s">
        <v>1073</v>
      </c>
    </row>
    <row r="35" spans="1:14">
      <c r="A35" s="259" t="s">
        <v>248</v>
      </c>
      <c r="B35" s="36"/>
      <c r="C35" s="44" t="s">
        <v>249</v>
      </c>
      <c r="D35" s="259"/>
      <c r="E35" s="258">
        <v>0</v>
      </c>
      <c r="F35" s="303">
        <f t="shared" si="4"/>
        <v>0</v>
      </c>
      <c r="G35" s="304">
        <v>0</v>
      </c>
      <c r="H35" s="304">
        <v>0</v>
      </c>
      <c r="I35" s="304">
        <v>0</v>
      </c>
      <c r="J35" s="304">
        <v>0</v>
      </c>
      <c r="K35" s="304">
        <v>0</v>
      </c>
      <c r="L35" s="304">
        <v>0</v>
      </c>
      <c r="M35" s="305">
        <v>0</v>
      </c>
      <c r="N35" s="348"/>
    </row>
    <row r="36" spans="1:14" s="370" customFormat="1" ht="42.5" customHeight="1">
      <c r="A36" s="260" t="s">
        <v>250</v>
      </c>
      <c r="B36" s="36"/>
      <c r="C36" s="261" t="s">
        <v>251</v>
      </c>
      <c r="D36" s="260"/>
      <c r="E36" s="258">
        <v>100</v>
      </c>
      <c r="F36" s="303">
        <f>SUM(G36:M36)</f>
        <v>125</v>
      </c>
      <c r="G36" s="304">
        <v>0</v>
      </c>
      <c r="H36" s="304">
        <v>125</v>
      </c>
      <c r="I36" s="304">
        <v>0</v>
      </c>
      <c r="J36" s="304">
        <v>0</v>
      </c>
      <c r="K36" s="304">
        <v>0</v>
      </c>
      <c r="L36" s="304">
        <v>0</v>
      </c>
      <c r="M36" s="305">
        <v>0</v>
      </c>
      <c r="N36" s="538" t="s">
        <v>1074</v>
      </c>
    </row>
    <row r="37" spans="1:14">
      <c r="A37" s="260" t="s">
        <v>252</v>
      </c>
      <c r="B37" s="378"/>
      <c r="C37" s="261" t="s">
        <v>253</v>
      </c>
      <c r="D37" s="260"/>
      <c r="E37" s="311">
        <v>0</v>
      </c>
      <c r="F37" s="303">
        <f>SUM(G37:M37)</f>
        <v>0</v>
      </c>
      <c r="G37" s="163">
        <v>0</v>
      </c>
      <c r="H37" s="163">
        <f>-410+410</f>
        <v>0</v>
      </c>
      <c r="I37" s="163">
        <v>0</v>
      </c>
      <c r="J37" s="163">
        <v>0</v>
      </c>
      <c r="K37" s="163">
        <v>0</v>
      </c>
      <c r="L37" s="163">
        <v>0</v>
      </c>
      <c r="M37" s="164">
        <v>0</v>
      </c>
      <c r="N37" s="318"/>
    </row>
    <row r="38" spans="1:14">
      <c r="A38" s="40" t="s">
        <v>254</v>
      </c>
      <c r="B38" s="260"/>
      <c r="C38" s="261"/>
      <c r="D38" s="262"/>
      <c r="E38" s="42">
        <f t="shared" ref="E38:M38" si="5">SUM(E24:E37)</f>
        <v>1056</v>
      </c>
      <c r="F38" s="43">
        <f t="shared" si="5"/>
        <v>948</v>
      </c>
      <c r="G38" s="43">
        <f t="shared" si="5"/>
        <v>0</v>
      </c>
      <c r="H38" s="43">
        <f t="shared" si="5"/>
        <v>948</v>
      </c>
      <c r="I38" s="43">
        <f t="shared" si="5"/>
        <v>0</v>
      </c>
      <c r="J38" s="43">
        <f t="shared" si="5"/>
        <v>0</v>
      </c>
      <c r="K38" s="43">
        <f t="shared" si="5"/>
        <v>0</v>
      </c>
      <c r="L38" s="43">
        <f t="shared" si="5"/>
        <v>0</v>
      </c>
      <c r="M38" s="43">
        <f t="shared" si="5"/>
        <v>0</v>
      </c>
      <c r="N38" s="348"/>
    </row>
    <row r="39" spans="1:14">
      <c r="A39" s="40" t="s">
        <v>255</v>
      </c>
      <c r="B39" s="51"/>
      <c r="C39" s="147"/>
      <c r="D39" s="262"/>
      <c r="E39" s="42"/>
      <c r="F39" s="235">
        <f>SUM(G39:M39)</f>
        <v>180</v>
      </c>
      <c r="G39" s="235"/>
      <c r="H39" s="235">
        <v>180</v>
      </c>
      <c r="I39" s="235"/>
      <c r="J39" s="235"/>
      <c r="K39" s="235"/>
      <c r="L39" s="235"/>
      <c r="M39" s="235"/>
      <c r="N39" s="318" t="s">
        <v>1486</v>
      </c>
    </row>
    <row r="40" spans="1:14">
      <c r="A40" s="40" t="s">
        <v>256</v>
      </c>
      <c r="B40" s="46"/>
      <c r="C40" s="47"/>
      <c r="D40" s="48">
        <f>D38+D22+D16</f>
        <v>5.5</v>
      </c>
      <c r="E40" s="42">
        <f>E38+E22+E16-E39</f>
        <v>1997</v>
      </c>
      <c r="F40" s="17">
        <f t="shared" ref="F40:M40" si="6">F38+F22+F16-F39</f>
        <v>1911</v>
      </c>
      <c r="G40" s="17">
        <f t="shared" si="6"/>
        <v>0</v>
      </c>
      <c r="H40" s="17">
        <f t="shared" si="6"/>
        <v>1911</v>
      </c>
      <c r="I40" s="17">
        <f t="shared" si="6"/>
        <v>0</v>
      </c>
      <c r="J40" s="17">
        <f t="shared" si="6"/>
        <v>0</v>
      </c>
      <c r="K40" s="17">
        <f t="shared" si="6"/>
        <v>0</v>
      </c>
      <c r="L40" s="17">
        <f t="shared" si="6"/>
        <v>0</v>
      </c>
      <c r="M40" s="17">
        <f t="shared" si="6"/>
        <v>0</v>
      </c>
      <c r="N40" s="346"/>
    </row>
    <row r="41" spans="1:14" s="347" customFormat="1" ht="28" customHeight="1">
      <c r="A41" s="244" t="s">
        <v>615</v>
      </c>
      <c r="B41" s="244"/>
      <c r="C41" s="53"/>
      <c r="D41" s="54"/>
      <c r="E41" s="55">
        <f>E40-C46</f>
        <v>1762</v>
      </c>
      <c r="F41" s="55">
        <f>F40-B46</f>
        <v>1676</v>
      </c>
      <c r="G41" s="370"/>
      <c r="H41" s="370"/>
      <c r="I41" s="370"/>
      <c r="J41" s="370"/>
      <c r="K41" s="370"/>
      <c r="L41" s="370"/>
      <c r="M41" s="370"/>
      <c r="N41" s="370"/>
    </row>
    <row r="42" spans="1:14" s="347" customFormat="1">
      <c r="A42" s="370"/>
      <c r="B42" s="639" t="s">
        <v>1012</v>
      </c>
      <c r="C42" s="639" t="s">
        <v>735</v>
      </c>
      <c r="D42" s="370"/>
      <c r="E42" s="370"/>
      <c r="F42" s="370"/>
      <c r="G42" s="370"/>
      <c r="H42" s="370"/>
      <c r="I42" s="370"/>
      <c r="J42" s="370"/>
      <c r="K42" s="370"/>
      <c r="L42" s="370"/>
      <c r="M42" s="370"/>
      <c r="N42" s="370"/>
    </row>
    <row r="43" spans="1:14" s="347" customFormat="1">
      <c r="A43" s="57" t="s">
        <v>616</v>
      </c>
      <c r="B43" s="58">
        <v>106</v>
      </c>
      <c r="C43" s="58">
        <v>106</v>
      </c>
      <c r="D43" s="370"/>
      <c r="E43" s="1026"/>
      <c r="F43" s="1027"/>
      <c r="G43" s="29"/>
      <c r="H43" s="370" t="s">
        <v>617</v>
      </c>
      <c r="I43" s="370"/>
      <c r="J43" s="370" t="s">
        <v>5</v>
      </c>
      <c r="K43" s="370"/>
      <c r="L43" s="370" t="s">
        <v>618</v>
      </c>
      <c r="M43" s="370" t="s">
        <v>622</v>
      </c>
      <c r="N43" s="480"/>
    </row>
    <row r="44" spans="1:14" s="347" customFormat="1">
      <c r="A44" s="259" t="s">
        <v>619</v>
      </c>
      <c r="B44" s="59">
        <v>62</v>
      </c>
      <c r="C44" s="59">
        <v>62</v>
      </c>
      <c r="D44" s="370"/>
      <c r="E44" s="370"/>
      <c r="F44" s="257"/>
      <c r="G44" s="370"/>
      <c r="H44" s="370" t="s">
        <v>24</v>
      </c>
      <c r="I44" s="370"/>
      <c r="J44" s="382">
        <f>+F40*'Prep%Fuelspercentage.direct'!C38</f>
        <v>1331.1954828285802</v>
      </c>
      <c r="K44" s="479"/>
      <c r="L44" s="257">
        <f>(+F41*'Prep%Fuelspercentage.direct'!B38)+120</f>
        <v>1287.5016000000001</v>
      </c>
      <c r="M44" s="257">
        <v>1288</v>
      </c>
      <c r="N44" s="257">
        <f>+M44-L44</f>
        <v>0.49839999999994689</v>
      </c>
    </row>
    <row r="45" spans="1:14" s="347" customFormat="1">
      <c r="A45" s="259" t="s">
        <v>620</v>
      </c>
      <c r="B45" s="608">
        <v>67</v>
      </c>
      <c r="C45" s="608">
        <v>67</v>
      </c>
      <c r="D45" s="370"/>
      <c r="E45" s="370"/>
      <c r="F45" s="370"/>
      <c r="G45" s="370"/>
      <c r="H45" s="370" t="s">
        <v>25</v>
      </c>
      <c r="I45" s="370"/>
      <c r="J45" s="382">
        <f>+F40*'Prep%Fuelspercentage.direct'!C39</f>
        <v>579.80451717141989</v>
      </c>
      <c r="K45" s="479"/>
      <c r="L45" s="257">
        <f>(+F41*'Prep%Fuelspercentage.direct'!B39)-120</f>
        <v>388.4984</v>
      </c>
      <c r="M45" s="257">
        <v>388</v>
      </c>
      <c r="N45" s="257">
        <f>+M45-L45</f>
        <v>-0.49840000000000373</v>
      </c>
    </row>
    <row r="46" spans="1:14">
      <c r="A46" s="60" t="s">
        <v>621</v>
      </c>
      <c r="B46" s="61">
        <f>SUM(B43:B45)</f>
        <v>235</v>
      </c>
      <c r="C46" s="61">
        <f>SUM(C43:C45)</f>
        <v>235</v>
      </c>
      <c r="D46" s="370"/>
      <c r="E46" s="370"/>
      <c r="F46" s="370"/>
      <c r="G46" s="370"/>
      <c r="H46" s="370"/>
      <c r="I46" s="370"/>
      <c r="J46" s="382">
        <f>SUM(J44:J45)</f>
        <v>1911</v>
      </c>
      <c r="K46" s="370"/>
      <c r="L46" s="257">
        <f>SUM(L44:L45)</f>
        <v>1676</v>
      </c>
      <c r="M46" s="257">
        <f>SUM(M44:M45)</f>
        <v>1676</v>
      </c>
      <c r="N46" s="370"/>
    </row>
    <row r="48" spans="1:14">
      <c r="A48" s="370"/>
      <c r="B48" s="370"/>
      <c r="C48" s="639"/>
      <c r="D48" s="370"/>
      <c r="E48" s="370"/>
      <c r="F48" s="370"/>
      <c r="G48" s="370"/>
      <c r="H48" s="370" t="s">
        <v>735</v>
      </c>
      <c r="I48" s="370"/>
      <c r="J48" s="370"/>
      <c r="K48" s="370"/>
      <c r="L48" s="370"/>
      <c r="M48" s="370"/>
      <c r="N48" s="370"/>
    </row>
    <row r="49" spans="1:14">
      <c r="A49" s="370"/>
      <c r="B49" s="370"/>
      <c r="C49" s="639"/>
      <c r="D49" s="370"/>
      <c r="E49" s="370"/>
      <c r="F49" s="370"/>
      <c r="G49" s="370"/>
      <c r="H49" s="370" t="s">
        <v>617</v>
      </c>
      <c r="I49" s="370"/>
      <c r="J49" s="370" t="s">
        <v>5</v>
      </c>
      <c r="K49" s="370"/>
      <c r="L49" s="370" t="s">
        <v>618</v>
      </c>
      <c r="M49" s="370" t="s">
        <v>622</v>
      </c>
      <c r="N49" s="370"/>
    </row>
    <row r="50" spans="1:14">
      <c r="A50" s="370"/>
      <c r="B50" s="370"/>
      <c r="C50" s="639"/>
      <c r="D50" s="370"/>
      <c r="E50" s="370"/>
      <c r="F50" s="370"/>
      <c r="G50" s="370"/>
      <c r="H50" s="370" t="s">
        <v>24</v>
      </c>
      <c r="I50" s="370"/>
      <c r="J50" s="499">
        <v>1212.5749853693289</v>
      </c>
      <c r="K50" s="500"/>
      <c r="L50" s="222">
        <v>1040.5201999999999</v>
      </c>
      <c r="M50" s="222">
        <v>1041</v>
      </c>
      <c r="N50" s="257">
        <f>+M50-L50</f>
        <v>0.47980000000006839</v>
      </c>
    </row>
    <row r="51" spans="1:14">
      <c r="A51" s="370"/>
      <c r="B51" s="370"/>
      <c r="C51" s="639"/>
      <c r="D51" s="370"/>
      <c r="E51" s="370"/>
      <c r="F51" s="370"/>
      <c r="G51" s="370"/>
      <c r="H51" s="370" t="s">
        <v>25</v>
      </c>
      <c r="I51" s="370"/>
      <c r="J51" s="499">
        <v>784.42501463067094</v>
      </c>
      <c r="K51" s="500"/>
      <c r="L51" s="222">
        <v>721.47980000000007</v>
      </c>
      <c r="M51" s="222">
        <v>721</v>
      </c>
      <c r="N51" s="257">
        <f>+M51-L51</f>
        <v>-0.47980000000006839</v>
      </c>
    </row>
    <row r="52" spans="1:14">
      <c r="A52" s="370"/>
      <c r="B52" s="370"/>
      <c r="C52" s="639"/>
      <c r="D52" s="370"/>
      <c r="E52" s="370"/>
      <c r="F52" s="370"/>
      <c r="G52" s="370"/>
      <c r="H52" s="370"/>
      <c r="I52" s="370"/>
      <c r="J52" s="499">
        <f>SUM(J50:J51)</f>
        <v>1997</v>
      </c>
      <c r="K52" s="29"/>
      <c r="L52" s="222">
        <f>SUM(L50:L51)</f>
        <v>1762</v>
      </c>
      <c r="M52" s="222">
        <f>SUM(M50:M51)</f>
        <v>1762</v>
      </c>
      <c r="N52" s="370"/>
    </row>
    <row r="54" spans="1:14" s="370" customFormat="1" ht="15" thickBot="1">
      <c r="A54" s="31"/>
      <c r="B54" s="31"/>
      <c r="C54" s="32"/>
      <c r="D54" s="31"/>
      <c r="E54" s="31"/>
      <c r="F54" s="31"/>
      <c r="G54" s="31"/>
      <c r="H54" s="31"/>
      <c r="I54" s="31"/>
      <c r="J54" s="31"/>
      <c r="K54" s="31"/>
      <c r="L54" s="31"/>
      <c r="M54" s="31"/>
      <c r="N54" s="536"/>
    </row>
    <row r="55" spans="1:14" s="370" customFormat="1" ht="15.5">
      <c r="A55" s="873" t="s">
        <v>257</v>
      </c>
      <c r="B55" s="874"/>
      <c r="C55" s="874"/>
      <c r="D55" s="874"/>
      <c r="E55" s="874"/>
      <c r="F55" s="874"/>
      <c r="G55" s="550"/>
      <c r="H55" s="31"/>
      <c r="I55" s="31"/>
      <c r="J55" s="31"/>
      <c r="K55" s="31"/>
      <c r="L55" s="31"/>
      <c r="M55" s="31"/>
      <c r="N55" s="536"/>
    </row>
    <row r="56" spans="1:14" s="370" customFormat="1" ht="15.5">
      <c r="A56" s="875"/>
      <c r="B56" s="876"/>
      <c r="C56" s="876"/>
      <c r="D56" s="876"/>
      <c r="E56" s="876"/>
      <c r="F56" s="876"/>
      <c r="G56" s="551"/>
      <c r="H56" s="31"/>
      <c r="I56" s="31"/>
      <c r="J56" s="31"/>
      <c r="K56" s="31"/>
      <c r="L56" s="31"/>
      <c r="M56" s="31"/>
      <c r="N56" s="536"/>
    </row>
    <row r="57" spans="1:14" s="370" customFormat="1">
      <c r="A57" s="877" t="s">
        <v>258</v>
      </c>
      <c r="B57" s="878"/>
      <c r="C57" s="552"/>
      <c r="D57" s="552"/>
      <c r="E57" s="552"/>
      <c r="F57" s="552"/>
      <c r="G57" s="551"/>
      <c r="H57" s="31"/>
      <c r="I57" s="31"/>
      <c r="J57" s="31"/>
      <c r="K57" s="31"/>
      <c r="L57" s="31"/>
      <c r="M57" s="31"/>
      <c r="N57" s="536"/>
    </row>
    <row r="58" spans="1:14" s="370" customFormat="1">
      <c r="A58" s="553" t="s">
        <v>1028</v>
      </c>
      <c r="B58" s="554">
        <f>E40</f>
        <v>1997</v>
      </c>
      <c r="C58" s="555"/>
      <c r="D58" s="556"/>
      <c r="E58" s="556"/>
      <c r="F58" s="556"/>
      <c r="G58" s="551"/>
      <c r="H58" s="31"/>
      <c r="I58" s="31"/>
      <c r="J58" s="31"/>
      <c r="K58" s="31"/>
      <c r="L58" s="31"/>
      <c r="M58" s="31"/>
      <c r="N58" s="536"/>
    </row>
    <row r="59" spans="1:14" s="370" customFormat="1">
      <c r="A59" s="557" t="s">
        <v>1029</v>
      </c>
      <c r="B59" s="558">
        <f>F40</f>
        <v>1911</v>
      </c>
      <c r="C59" s="555"/>
      <c r="D59" s="556"/>
      <c r="E59" s="556"/>
      <c r="F59" s="556"/>
      <c r="G59" s="551"/>
      <c r="H59" s="31"/>
      <c r="I59" s="31"/>
      <c r="J59" s="31"/>
      <c r="K59" s="31"/>
      <c r="L59" s="31"/>
      <c r="M59" s="31"/>
      <c r="N59" s="536"/>
    </row>
    <row r="60" spans="1:14" s="370" customFormat="1">
      <c r="A60" s="559" t="s">
        <v>259</v>
      </c>
      <c r="B60" s="560">
        <f>B59-B58</f>
        <v>-86</v>
      </c>
      <c r="C60" s="555"/>
      <c r="D60" s="556"/>
      <c r="E60" s="556"/>
      <c r="F60" s="556"/>
      <c r="G60" s="551"/>
      <c r="H60" s="31"/>
      <c r="I60" s="31"/>
      <c r="J60" s="31"/>
      <c r="K60" s="31"/>
      <c r="L60" s="31"/>
      <c r="M60" s="31"/>
      <c r="N60" s="536"/>
    </row>
    <row r="61" spans="1:14" s="370" customFormat="1">
      <c r="A61" s="559" t="s">
        <v>260</v>
      </c>
      <c r="B61" s="561">
        <f>B60/B58</f>
        <v>-4.3064596895343012E-2</v>
      </c>
      <c r="C61" s="555"/>
      <c r="D61" s="556"/>
      <c r="E61" s="556"/>
      <c r="F61" s="556"/>
      <c r="G61" s="551"/>
      <c r="H61" s="31"/>
      <c r="I61" s="31"/>
      <c r="J61" s="31"/>
      <c r="K61" s="31"/>
      <c r="L61" s="31"/>
      <c r="M61" s="31"/>
      <c r="N61" s="536"/>
    </row>
    <row r="62" spans="1:14" s="370" customFormat="1">
      <c r="A62" s="562"/>
      <c r="B62" s="556"/>
      <c r="C62" s="660"/>
      <c r="D62" s="556"/>
      <c r="E62" s="556"/>
      <c r="F62" s="556"/>
      <c r="G62" s="551"/>
      <c r="H62" s="31"/>
      <c r="I62" s="31"/>
      <c r="J62" s="31"/>
      <c r="K62" s="31"/>
      <c r="L62" s="31"/>
      <c r="M62" s="31"/>
      <c r="N62" s="536"/>
    </row>
    <row r="63" spans="1:14" s="293" customFormat="1">
      <c r="A63" s="1000" t="s">
        <v>261</v>
      </c>
      <c r="B63" s="1001"/>
      <c r="C63" s="1001"/>
      <c r="D63" s="1001"/>
      <c r="E63" s="1001"/>
      <c r="F63" s="1001"/>
      <c r="G63" s="675"/>
      <c r="H63" s="671"/>
      <c r="I63" s="671"/>
      <c r="J63" s="671"/>
      <c r="K63" s="671"/>
      <c r="L63" s="671"/>
      <c r="M63" s="671"/>
      <c r="N63" s="673"/>
    </row>
    <row r="64" spans="1:14" s="293" customFormat="1" ht="55.5" customHeight="1">
      <c r="A64" s="1028" t="s">
        <v>872</v>
      </c>
      <c r="B64" s="1029"/>
      <c r="C64" s="1029"/>
      <c r="D64" s="1029"/>
      <c r="E64" s="1029"/>
      <c r="F64" s="1030"/>
      <c r="G64" s="675"/>
      <c r="H64" s="671"/>
      <c r="I64" s="671"/>
      <c r="J64" s="671"/>
      <c r="K64" s="671"/>
      <c r="L64" s="671"/>
      <c r="M64" s="671"/>
      <c r="N64" s="673"/>
    </row>
    <row r="65" spans="1:14" s="293" customFormat="1">
      <c r="A65" s="688"/>
      <c r="B65" s="689"/>
      <c r="C65" s="689"/>
      <c r="D65" s="689"/>
      <c r="E65" s="689"/>
      <c r="F65" s="689"/>
      <c r="G65" s="675"/>
      <c r="H65" s="671"/>
      <c r="I65" s="671"/>
      <c r="J65" s="671"/>
      <c r="K65" s="671"/>
      <c r="L65" s="671"/>
      <c r="M65" s="671"/>
      <c r="N65" s="673"/>
    </row>
    <row r="66" spans="1:14" s="293" customFormat="1">
      <c r="A66" s="690" t="s">
        <v>262</v>
      </c>
      <c r="B66" s="680"/>
      <c r="C66" s="725"/>
      <c r="D66" s="680"/>
      <c r="E66" s="680"/>
      <c r="F66" s="680"/>
      <c r="G66" s="675"/>
      <c r="H66" s="671"/>
      <c r="I66" s="671"/>
      <c r="J66" s="671"/>
      <c r="K66" s="671"/>
      <c r="L66" s="671"/>
      <c r="M66" s="671"/>
      <c r="N66" s="673"/>
    </row>
    <row r="67" spans="1:14" s="293" customFormat="1" ht="88.9" customHeight="1">
      <c r="A67" s="1028" t="s">
        <v>763</v>
      </c>
      <c r="B67" s="1029"/>
      <c r="C67" s="1029"/>
      <c r="D67" s="1029"/>
      <c r="E67" s="1029"/>
      <c r="F67" s="1030"/>
      <c r="G67" s="675"/>
      <c r="H67" s="671"/>
      <c r="I67" s="671"/>
      <c r="J67" s="671"/>
      <c r="K67" s="671"/>
      <c r="L67" s="671"/>
      <c r="M67" s="671"/>
      <c r="N67" s="673"/>
    </row>
    <row r="68" spans="1:14" s="293" customFormat="1">
      <c r="A68" s="686"/>
      <c r="B68" s="680"/>
      <c r="C68" s="725"/>
      <c r="D68" s="680"/>
      <c r="E68" s="680"/>
      <c r="F68" s="680"/>
      <c r="G68" s="675"/>
      <c r="H68" s="671"/>
      <c r="I68" s="671"/>
      <c r="J68" s="671"/>
      <c r="K68" s="671"/>
      <c r="L68" s="671"/>
      <c r="M68" s="671"/>
      <c r="N68" s="673"/>
    </row>
    <row r="69" spans="1:14" s="293" customFormat="1">
      <c r="A69" s="1000" t="s">
        <v>1020</v>
      </c>
      <c r="B69" s="1001"/>
      <c r="C69" s="1001"/>
      <c r="D69" s="1001"/>
      <c r="E69" s="1001"/>
      <c r="F69" s="1001"/>
      <c r="G69" s="675"/>
      <c r="H69" s="671"/>
      <c r="I69" s="671"/>
      <c r="J69" s="671"/>
      <c r="K69" s="671"/>
      <c r="L69" s="671"/>
      <c r="M69" s="671"/>
      <c r="N69" s="673"/>
    </row>
    <row r="70" spans="1:14" s="293" customFormat="1">
      <c r="A70" s="1005" t="s">
        <v>1021</v>
      </c>
      <c r="B70" s="1006"/>
      <c r="C70" s="1006"/>
      <c r="D70" s="1006"/>
      <c r="E70" s="1006"/>
      <c r="F70" s="1006"/>
      <c r="G70" s="675"/>
      <c r="H70" s="671"/>
      <c r="I70" s="671"/>
      <c r="J70" s="671"/>
      <c r="K70" s="671"/>
      <c r="L70" s="671"/>
      <c r="M70" s="671"/>
      <c r="N70" s="673"/>
    </row>
    <row r="71" spans="1:14" s="293" customFormat="1" ht="79.5" customHeight="1">
      <c r="A71" s="1028" t="s">
        <v>1075</v>
      </c>
      <c r="B71" s="1029"/>
      <c r="C71" s="1029"/>
      <c r="D71" s="1029"/>
      <c r="E71" s="1029"/>
      <c r="F71" s="1030"/>
      <c r="G71" s="675"/>
      <c r="H71" s="671"/>
      <c r="I71" s="671"/>
      <c r="J71" s="671"/>
      <c r="K71" s="671"/>
      <c r="L71" s="671"/>
      <c r="M71" s="671"/>
      <c r="N71" s="673"/>
    </row>
    <row r="72" spans="1:14" s="293" customFormat="1">
      <c r="A72" s="690"/>
      <c r="B72" s="680"/>
      <c r="C72" s="725"/>
      <c r="D72" s="680"/>
      <c r="E72" s="680"/>
      <c r="F72" s="680"/>
      <c r="G72" s="675"/>
      <c r="H72" s="671"/>
      <c r="I72" s="671"/>
      <c r="J72" s="671"/>
      <c r="K72" s="671"/>
      <c r="L72" s="671"/>
      <c r="M72" s="671"/>
      <c r="N72" s="673"/>
    </row>
    <row r="73" spans="1:14" s="293" customFormat="1">
      <c r="A73" s="1000" t="s">
        <v>264</v>
      </c>
      <c r="B73" s="1001"/>
      <c r="C73" s="1001"/>
      <c r="D73" s="1001"/>
      <c r="E73" s="1001"/>
      <c r="F73" s="680"/>
      <c r="G73" s="675"/>
      <c r="H73" s="671"/>
      <c r="I73" s="671"/>
      <c r="J73" s="671"/>
      <c r="K73" s="671"/>
      <c r="L73" s="671"/>
      <c r="M73" s="671"/>
      <c r="N73" s="673"/>
    </row>
    <row r="74" spans="1:14" s="293" customFormat="1" ht="30.15" customHeight="1">
      <c r="A74" s="1033"/>
      <c r="B74" s="1034"/>
      <c r="C74" s="1034"/>
      <c r="D74" s="1034"/>
      <c r="E74" s="1034"/>
      <c r="F74" s="1035"/>
      <c r="G74" s="675"/>
      <c r="H74" s="671"/>
      <c r="I74" s="671"/>
      <c r="J74" s="671"/>
      <c r="K74" s="671"/>
      <c r="L74" s="671"/>
      <c r="M74" s="671"/>
      <c r="N74" s="673"/>
    </row>
    <row r="75" spans="1:14" s="293" customFormat="1">
      <c r="A75" s="686"/>
      <c r="B75" s="680"/>
      <c r="C75" s="725"/>
      <c r="D75" s="680"/>
      <c r="E75" s="680"/>
      <c r="F75" s="680"/>
      <c r="G75" s="675"/>
      <c r="H75" s="671"/>
      <c r="I75" s="671"/>
      <c r="J75" s="671"/>
      <c r="K75" s="671"/>
      <c r="L75" s="671"/>
      <c r="M75" s="671"/>
      <c r="N75" s="673"/>
    </row>
    <row r="76" spans="1:14" s="293" customFormat="1">
      <c r="A76" s="690" t="s">
        <v>265</v>
      </c>
      <c r="B76" s="680"/>
      <c r="C76" s="725"/>
      <c r="D76" s="680"/>
      <c r="E76" s="680"/>
      <c r="F76" s="680"/>
      <c r="G76" s="675"/>
      <c r="H76" s="671"/>
      <c r="I76" s="671"/>
      <c r="J76" s="671"/>
      <c r="K76" s="671"/>
      <c r="L76" s="671"/>
      <c r="M76" s="671"/>
      <c r="N76" s="673"/>
    </row>
    <row r="77" spans="1:14" s="293" customFormat="1">
      <c r="A77" s="691" t="s">
        <v>266</v>
      </c>
      <c r="B77" s="680"/>
      <c r="C77" s="725"/>
      <c r="D77" s="680"/>
      <c r="E77" s="680"/>
      <c r="F77" s="680"/>
      <c r="G77" s="675"/>
      <c r="H77" s="671"/>
      <c r="I77" s="671"/>
      <c r="J77" s="671"/>
      <c r="K77" s="671"/>
      <c r="L77" s="671"/>
      <c r="M77" s="671"/>
      <c r="N77" s="673"/>
    </row>
    <row r="78" spans="1:14" s="293" customFormat="1" ht="26.25" customHeight="1">
      <c r="A78" s="1036" t="s">
        <v>1030</v>
      </c>
      <c r="B78" s="1037"/>
      <c r="C78" s="1037"/>
      <c r="D78" s="1037"/>
      <c r="E78" s="1037"/>
      <c r="F78" s="1037"/>
      <c r="G78" s="675"/>
      <c r="H78" s="671"/>
      <c r="I78" s="671"/>
      <c r="J78" s="671"/>
      <c r="K78" s="671"/>
      <c r="L78" s="671"/>
      <c r="M78" s="671"/>
      <c r="N78" s="673"/>
    </row>
    <row r="79" spans="1:14" s="293" customFormat="1" ht="26.25" customHeight="1">
      <c r="A79" s="1028" t="s">
        <v>764</v>
      </c>
      <c r="B79" s="1029"/>
      <c r="C79" s="1029"/>
      <c r="D79" s="1029"/>
      <c r="E79" s="1029"/>
      <c r="F79" s="1030"/>
      <c r="G79" s="675"/>
      <c r="H79" s="671"/>
      <c r="I79" s="671"/>
      <c r="J79" s="671"/>
      <c r="K79" s="671"/>
      <c r="L79" s="671"/>
      <c r="M79" s="671"/>
      <c r="N79" s="673"/>
    </row>
    <row r="80" spans="1:14" s="293" customFormat="1">
      <c r="A80" s="1012"/>
      <c r="B80" s="1013"/>
      <c r="C80" s="1013"/>
      <c r="D80" s="1013"/>
      <c r="E80" s="1013"/>
      <c r="F80" s="1013"/>
      <c r="G80" s="675"/>
      <c r="H80" s="671"/>
      <c r="I80" s="671"/>
      <c r="J80" s="671"/>
      <c r="K80" s="671"/>
      <c r="L80" s="671"/>
      <c r="M80" s="671"/>
      <c r="N80" s="673"/>
    </row>
    <row r="81" spans="1:14" s="293" customFormat="1">
      <c r="A81" s="691" t="s">
        <v>268</v>
      </c>
      <c r="B81" s="680"/>
      <c r="C81" s="725"/>
      <c r="D81" s="680"/>
      <c r="E81" s="680"/>
      <c r="F81" s="680"/>
      <c r="G81" s="675"/>
      <c r="H81" s="671"/>
      <c r="I81" s="671"/>
      <c r="J81" s="671"/>
      <c r="K81" s="671"/>
      <c r="L81" s="671"/>
      <c r="M81" s="671"/>
      <c r="N81" s="673"/>
    </row>
    <row r="82" spans="1:14" s="293" customFormat="1" ht="28.65" customHeight="1">
      <c r="A82" s="1031" t="s">
        <v>269</v>
      </c>
      <c r="B82" s="1032"/>
      <c r="C82" s="1032"/>
      <c r="D82" s="1032"/>
      <c r="E82" s="1032"/>
      <c r="F82" s="1032"/>
      <c r="G82" s="675"/>
      <c r="H82" s="671"/>
      <c r="I82" s="671"/>
      <c r="J82" s="671"/>
      <c r="K82" s="671"/>
      <c r="L82" s="671"/>
      <c r="M82" s="671"/>
      <c r="N82" s="673"/>
    </row>
    <row r="83" spans="1:14" s="293" customFormat="1" ht="76.5" customHeight="1">
      <c r="A83" s="1028" t="s">
        <v>1076</v>
      </c>
      <c r="B83" s="1029"/>
      <c r="C83" s="1029"/>
      <c r="D83" s="1029"/>
      <c r="E83" s="1029"/>
      <c r="F83" s="1030"/>
      <c r="G83" s="675"/>
      <c r="H83" s="671"/>
      <c r="I83" s="671"/>
      <c r="J83" s="671"/>
      <c r="K83" s="671"/>
      <c r="L83" s="671"/>
      <c r="M83" s="671"/>
      <c r="N83" s="673"/>
    </row>
    <row r="84" spans="1:14" s="293" customFormat="1" ht="15" thickBot="1">
      <c r="A84" s="692"/>
      <c r="B84" s="693"/>
      <c r="C84" s="694"/>
      <c r="D84" s="693"/>
      <c r="E84" s="693"/>
      <c r="F84" s="693"/>
      <c r="G84" s="695"/>
      <c r="H84" s="671"/>
      <c r="I84" s="671"/>
      <c r="J84" s="671"/>
      <c r="K84" s="671"/>
      <c r="L84" s="671"/>
      <c r="M84" s="671"/>
      <c r="N84" s="673"/>
    </row>
    <row r="85" spans="1:14" s="293" customFormat="1">
      <c r="A85" s="671"/>
      <c r="B85" s="671"/>
      <c r="C85" s="672"/>
      <c r="D85" s="671"/>
      <c r="E85" s="671"/>
      <c r="F85" s="671"/>
      <c r="G85" s="671"/>
      <c r="H85" s="671"/>
      <c r="I85" s="671"/>
      <c r="J85" s="671"/>
      <c r="K85" s="671"/>
      <c r="L85" s="671"/>
      <c r="M85" s="671"/>
      <c r="N85" s="673"/>
    </row>
    <row r="86" spans="1:14" s="293" customFormat="1">
      <c r="A86" s="671"/>
      <c r="B86" s="671"/>
      <c r="C86" s="672"/>
      <c r="D86" s="671"/>
      <c r="E86" s="671"/>
      <c r="F86" s="671"/>
      <c r="G86" s="671"/>
      <c r="H86" s="671"/>
      <c r="I86" s="671"/>
      <c r="J86" s="671"/>
      <c r="K86" s="671"/>
      <c r="L86" s="671"/>
      <c r="M86" s="671"/>
      <c r="N86" s="673"/>
    </row>
    <row r="87" spans="1:14" s="293" customFormat="1">
      <c r="A87" s="671"/>
      <c r="B87" s="671"/>
      <c r="C87" s="672"/>
      <c r="D87" s="671"/>
      <c r="E87" s="671"/>
      <c r="F87" s="671"/>
      <c r="G87" s="671"/>
      <c r="H87" s="671"/>
      <c r="I87" s="671"/>
      <c r="J87" s="671"/>
      <c r="K87" s="671"/>
      <c r="L87" s="671"/>
      <c r="M87" s="671"/>
      <c r="N87" s="673"/>
    </row>
    <row r="88" spans="1:14" s="293" customFormat="1">
      <c r="A88" s="671"/>
      <c r="B88" s="671"/>
      <c r="C88" s="672"/>
      <c r="D88" s="671"/>
      <c r="E88" s="671"/>
      <c r="F88" s="671"/>
      <c r="G88" s="671"/>
      <c r="H88" s="671"/>
      <c r="I88" s="671"/>
      <c r="J88" s="671"/>
      <c r="K88" s="671"/>
      <c r="L88" s="671"/>
      <c r="M88" s="671"/>
      <c r="N88" s="673"/>
    </row>
    <row r="89" spans="1:14" s="293" customFormat="1">
      <c r="A89" s="671"/>
      <c r="B89" s="671"/>
      <c r="C89" s="672"/>
      <c r="D89" s="671"/>
      <c r="E89" s="671"/>
      <c r="F89" s="671"/>
      <c r="G89" s="671"/>
      <c r="H89" s="671"/>
      <c r="I89" s="671"/>
      <c r="J89" s="671"/>
      <c r="K89" s="671"/>
      <c r="L89" s="671"/>
      <c r="M89" s="671"/>
      <c r="N89" s="673"/>
    </row>
    <row r="90" spans="1:14" s="293" customFormat="1">
      <c r="A90" s="671"/>
      <c r="B90" s="671"/>
      <c r="C90" s="672"/>
      <c r="D90" s="671"/>
      <c r="E90" s="671"/>
      <c r="F90" s="671"/>
      <c r="G90" s="671"/>
      <c r="H90" s="671"/>
      <c r="I90" s="671"/>
      <c r="J90" s="671"/>
      <c r="K90" s="671"/>
      <c r="L90" s="671"/>
      <c r="M90" s="671"/>
      <c r="N90" s="673"/>
    </row>
    <row r="91" spans="1:14" s="293" customFormat="1">
      <c r="A91" s="671"/>
      <c r="B91" s="671"/>
      <c r="C91" s="672"/>
      <c r="D91" s="671"/>
      <c r="E91" s="671"/>
      <c r="F91" s="671"/>
      <c r="G91" s="671"/>
      <c r="H91" s="671"/>
      <c r="I91" s="671"/>
      <c r="J91" s="671"/>
      <c r="K91" s="671"/>
      <c r="L91" s="671"/>
      <c r="M91" s="671"/>
      <c r="N91" s="673"/>
    </row>
    <row r="92" spans="1:14" s="293" customFormat="1">
      <c r="A92" s="671"/>
      <c r="B92" s="671"/>
      <c r="C92" s="672"/>
      <c r="D92" s="671"/>
      <c r="E92" s="671"/>
      <c r="F92" s="671"/>
      <c r="G92" s="671"/>
      <c r="H92" s="671"/>
      <c r="I92" s="671"/>
      <c r="J92" s="671"/>
      <c r="K92" s="671"/>
      <c r="L92" s="671"/>
      <c r="M92" s="671"/>
      <c r="N92" s="673"/>
    </row>
    <row r="93" spans="1:14" s="293" customFormat="1">
      <c r="A93" s="671"/>
      <c r="B93" s="671"/>
      <c r="C93" s="672"/>
      <c r="D93" s="671"/>
      <c r="E93" s="671"/>
      <c r="F93" s="671"/>
      <c r="G93" s="671"/>
      <c r="H93" s="671"/>
      <c r="I93" s="671"/>
      <c r="J93" s="671"/>
      <c r="K93" s="671"/>
      <c r="L93" s="671"/>
      <c r="M93" s="671"/>
      <c r="N93" s="673"/>
    </row>
    <row r="94" spans="1:14" s="293" customFormat="1">
      <c r="A94" s="671"/>
      <c r="B94" s="671"/>
      <c r="C94" s="672"/>
      <c r="D94" s="671"/>
      <c r="E94" s="671"/>
      <c r="F94" s="671"/>
      <c r="G94" s="671"/>
      <c r="H94" s="671"/>
      <c r="I94" s="671"/>
      <c r="J94" s="671"/>
      <c r="K94" s="671"/>
      <c r="L94" s="671"/>
      <c r="M94" s="671"/>
      <c r="N94" s="673"/>
    </row>
    <row r="95" spans="1:14" s="293" customFormat="1">
      <c r="A95" s="671"/>
      <c r="B95" s="671"/>
      <c r="C95" s="672"/>
      <c r="D95" s="671"/>
      <c r="E95" s="671"/>
      <c r="F95" s="671"/>
      <c r="G95" s="671"/>
      <c r="H95" s="671"/>
      <c r="I95" s="671"/>
      <c r="J95" s="671"/>
      <c r="K95" s="671"/>
      <c r="L95" s="671"/>
      <c r="M95" s="671"/>
      <c r="N95" s="673"/>
    </row>
    <row r="96" spans="1:14" s="293" customFormat="1">
      <c r="A96" s="671"/>
      <c r="B96" s="671"/>
      <c r="C96" s="672"/>
      <c r="D96" s="671"/>
      <c r="E96" s="671"/>
      <c r="F96" s="671"/>
      <c r="G96" s="671"/>
      <c r="H96" s="671"/>
      <c r="I96" s="671"/>
      <c r="J96" s="671"/>
      <c r="K96" s="671"/>
      <c r="L96" s="671"/>
      <c r="M96" s="671"/>
      <c r="N96" s="673"/>
    </row>
    <row r="97" spans="1:14" s="293" customFormat="1">
      <c r="A97" s="671"/>
      <c r="B97" s="671"/>
      <c r="C97" s="672"/>
      <c r="D97" s="671"/>
      <c r="E97" s="671"/>
      <c r="F97" s="671"/>
      <c r="G97" s="671"/>
      <c r="H97" s="671"/>
      <c r="I97" s="671"/>
      <c r="J97" s="671"/>
      <c r="K97" s="671"/>
      <c r="L97" s="671"/>
      <c r="M97" s="671"/>
      <c r="N97" s="673"/>
    </row>
    <row r="98" spans="1:14" s="370" customFormat="1">
      <c r="A98" s="31"/>
      <c r="B98" s="31"/>
      <c r="C98" s="32"/>
      <c r="D98" s="31"/>
      <c r="E98" s="31"/>
      <c r="F98" s="31"/>
      <c r="G98" s="31"/>
      <c r="H98" s="31"/>
      <c r="I98" s="31"/>
      <c r="J98" s="31"/>
      <c r="K98" s="31"/>
      <c r="L98" s="31"/>
      <c r="M98" s="31"/>
      <c r="N98" s="536"/>
    </row>
    <row r="99" spans="1:14" s="370" customFormat="1">
      <c r="A99" s="31"/>
      <c r="B99" s="31"/>
      <c r="C99" s="32"/>
      <c r="D99" s="31"/>
      <c r="E99" s="31"/>
      <c r="F99" s="31"/>
      <c r="G99" s="31"/>
      <c r="H99" s="31"/>
      <c r="I99" s="31"/>
      <c r="J99" s="31"/>
      <c r="K99" s="31"/>
      <c r="L99" s="31"/>
      <c r="M99" s="31"/>
      <c r="N99" s="536"/>
    </row>
    <row r="100" spans="1:14" s="370" customFormat="1">
      <c r="A100" s="31"/>
      <c r="B100" s="31"/>
      <c r="C100" s="32"/>
      <c r="D100" s="31"/>
      <c r="E100" s="31"/>
      <c r="F100" s="31"/>
      <c r="G100" s="31"/>
      <c r="H100" s="31"/>
      <c r="I100" s="31"/>
      <c r="J100" s="31"/>
      <c r="K100" s="31"/>
      <c r="L100" s="31"/>
      <c r="M100" s="31"/>
      <c r="N100" s="536"/>
    </row>
    <row r="101" spans="1:14" s="370" customFormat="1">
      <c r="A101" s="31"/>
      <c r="B101" s="31"/>
      <c r="C101" s="32"/>
      <c r="D101" s="31"/>
      <c r="E101" s="31"/>
      <c r="F101" s="31"/>
      <c r="G101" s="31"/>
      <c r="H101" s="31"/>
      <c r="I101" s="31"/>
      <c r="J101" s="31"/>
      <c r="K101" s="31"/>
      <c r="L101" s="31"/>
      <c r="M101" s="31"/>
      <c r="N101" s="536"/>
    </row>
    <row r="102" spans="1:14" s="370" customFormat="1">
      <c r="A102" s="31"/>
      <c r="B102" s="31"/>
      <c r="C102" s="32"/>
      <c r="D102" s="31"/>
      <c r="E102" s="31"/>
      <c r="F102" s="31"/>
      <c r="G102" s="31"/>
      <c r="H102" s="31"/>
      <c r="I102" s="31"/>
      <c r="J102" s="31"/>
      <c r="K102" s="31"/>
      <c r="L102" s="31"/>
      <c r="M102" s="31"/>
      <c r="N102" s="536"/>
    </row>
  </sheetData>
  <mergeCells count="18">
    <mergeCell ref="A80:F80"/>
    <mergeCell ref="A82:F82"/>
    <mergeCell ref="A83:F83"/>
    <mergeCell ref="A71:F71"/>
    <mergeCell ref="A73:E73"/>
    <mergeCell ref="A74:F74"/>
    <mergeCell ref="A78:F78"/>
    <mergeCell ref="A79:F79"/>
    <mergeCell ref="A63:F63"/>
    <mergeCell ref="A64:F64"/>
    <mergeCell ref="A67:F67"/>
    <mergeCell ref="A69:F69"/>
    <mergeCell ref="A70:F70"/>
    <mergeCell ref="A1:N1"/>
    <mergeCell ref="E43:F43"/>
    <mergeCell ref="A55:F55"/>
    <mergeCell ref="A56:F56"/>
    <mergeCell ref="A57:B57"/>
  </mergeCells>
  <printOptions horizontalCentered="1"/>
  <pageMargins left="0.2" right="0.2" top="0.75" bottom="0.75" header="0.3" footer="0.3"/>
  <pageSetup scale="67" orientation="landscape" r:id="rId1"/>
  <headerFooter>
    <oddHeader xml:space="preserve">&amp;CDRAFT NOT FOR DISTRIBUTION, INTERNAL USE ONLY
</oddHead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0.249977111117893"/>
    <pageSetUpPr fitToPage="1"/>
  </sheetPr>
  <dimension ref="A1:O84"/>
  <sheetViews>
    <sheetView zoomScaleNormal="100" workbookViewId="0">
      <selection sqref="A1:N1"/>
    </sheetView>
  </sheetViews>
  <sheetFormatPr defaultRowHeight="14.5"/>
  <cols>
    <col min="1" max="1" width="50.81640625" bestFit="1" customWidth="1"/>
    <col min="2" max="2" width="12.453125"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45.81640625" style="49" customWidth="1"/>
  </cols>
  <sheetData>
    <row r="1" spans="1:14" ht="15.5">
      <c r="A1" s="854" t="s">
        <v>165</v>
      </c>
      <c r="B1" s="854"/>
      <c r="C1" s="854"/>
      <c r="D1" s="854"/>
      <c r="E1" s="854"/>
      <c r="F1" s="854"/>
      <c r="G1" s="854"/>
      <c r="H1" s="854"/>
      <c r="I1" s="854"/>
      <c r="J1" s="854"/>
      <c r="K1" s="854"/>
      <c r="L1" s="854"/>
      <c r="M1" s="854"/>
      <c r="N1" s="854"/>
    </row>
    <row r="2" spans="1:14">
      <c r="A2" s="702" t="s">
        <v>623</v>
      </c>
      <c r="B2" s="370"/>
      <c r="C2" s="639"/>
      <c r="D2" s="370"/>
      <c r="E2" s="370"/>
      <c r="F2" s="370"/>
      <c r="G2" s="370"/>
      <c r="H2" s="370"/>
      <c r="I2" s="370"/>
      <c r="J2" s="370"/>
      <c r="K2" s="370"/>
      <c r="L2" s="370"/>
      <c r="M2" s="370"/>
      <c r="N2" s="539"/>
    </row>
    <row r="3" spans="1:14">
      <c r="A3" s="506" t="s">
        <v>624</v>
      </c>
      <c r="B3" s="370"/>
      <c r="C3" s="639"/>
      <c r="D3" s="370"/>
      <c r="E3" s="370"/>
      <c r="F3" s="29"/>
      <c r="G3" s="451" t="s">
        <v>210</v>
      </c>
      <c r="H3" s="370"/>
      <c r="I3" s="370"/>
      <c r="J3" s="370"/>
      <c r="K3" s="370"/>
      <c r="L3" s="370"/>
      <c r="M3" s="370"/>
      <c r="N3" s="539"/>
    </row>
    <row r="4" spans="1:14" s="370" customFormat="1">
      <c r="A4" s="506" t="s">
        <v>1285</v>
      </c>
      <c r="B4" s="408"/>
      <c r="C4" s="639"/>
      <c r="N4" s="539"/>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128"/>
    </row>
    <row r="7" spans="1:14" s="347" customFormat="1">
      <c r="A7" s="36" t="s">
        <v>625</v>
      </c>
      <c r="B7" s="36" t="s">
        <v>626</v>
      </c>
      <c r="C7" s="37" t="s">
        <v>218</v>
      </c>
      <c r="D7" s="38">
        <v>1</v>
      </c>
      <c r="E7" s="258">
        <v>178</v>
      </c>
      <c r="F7" s="303">
        <f>SUM(G7:M7)</f>
        <v>176</v>
      </c>
      <c r="G7" s="304">
        <v>0</v>
      </c>
      <c r="H7" s="304">
        <v>0</v>
      </c>
      <c r="I7" s="304">
        <v>0</v>
      </c>
      <c r="J7" s="304">
        <v>0</v>
      </c>
      <c r="K7" s="304">
        <v>176</v>
      </c>
      <c r="L7" s="304">
        <v>0</v>
      </c>
      <c r="M7" s="305">
        <v>0</v>
      </c>
      <c r="N7" s="367" t="s">
        <v>1282</v>
      </c>
    </row>
    <row r="8" spans="1:14" s="347" customFormat="1" ht="29">
      <c r="A8" s="36" t="s">
        <v>1077</v>
      </c>
      <c r="B8" s="36" t="s">
        <v>1284</v>
      </c>
      <c r="C8" s="37" t="s">
        <v>218</v>
      </c>
      <c r="D8" s="39">
        <v>0.85</v>
      </c>
      <c r="E8" s="258">
        <v>146</v>
      </c>
      <c r="F8" s="303">
        <f>SUM(G8:M8)</f>
        <v>134</v>
      </c>
      <c r="G8" s="304">
        <v>0</v>
      </c>
      <c r="H8" s="304">
        <v>0</v>
      </c>
      <c r="I8" s="304">
        <v>0</v>
      </c>
      <c r="J8" s="304">
        <v>0</v>
      </c>
      <c r="K8" s="304">
        <v>134</v>
      </c>
      <c r="L8" s="304">
        <v>0</v>
      </c>
      <c r="M8" s="305">
        <v>0</v>
      </c>
      <c r="N8" s="318" t="s">
        <v>1283</v>
      </c>
    </row>
    <row r="9" spans="1:14" s="347" customFormat="1">
      <c r="A9" s="36" t="s">
        <v>627</v>
      </c>
      <c r="B9" s="36"/>
      <c r="C9" s="37" t="s">
        <v>218</v>
      </c>
      <c r="D9" s="39"/>
      <c r="E9" s="258">
        <v>0</v>
      </c>
      <c r="F9" s="303">
        <f>SUM(G9:M9)</f>
        <v>0</v>
      </c>
      <c r="G9" s="304">
        <v>0</v>
      </c>
      <c r="H9" s="304">
        <v>0</v>
      </c>
      <c r="I9" s="304">
        <v>0</v>
      </c>
      <c r="J9" s="304">
        <v>0</v>
      </c>
      <c r="K9" s="304">
        <v>0</v>
      </c>
      <c r="L9" s="304">
        <v>0</v>
      </c>
      <c r="M9" s="305">
        <v>0</v>
      </c>
      <c r="N9" s="318"/>
    </row>
    <row r="10" spans="1:14" s="347" customFormat="1">
      <c r="A10" s="36" t="s">
        <v>627</v>
      </c>
      <c r="B10" s="259"/>
      <c r="C10" s="37" t="s">
        <v>218</v>
      </c>
      <c r="D10" s="39">
        <v>0</v>
      </c>
      <c r="E10" s="258">
        <v>0</v>
      </c>
      <c r="F10" s="303">
        <f>SUM(G10:M10)</f>
        <v>0</v>
      </c>
      <c r="G10" s="304">
        <v>0</v>
      </c>
      <c r="H10" s="304">
        <v>0</v>
      </c>
      <c r="I10" s="304">
        <v>0</v>
      </c>
      <c r="J10" s="304">
        <v>0</v>
      </c>
      <c r="K10" s="304">
        <v>0</v>
      </c>
      <c r="L10" s="304">
        <v>0</v>
      </c>
      <c r="M10" s="305">
        <v>0</v>
      </c>
      <c r="N10" s="348"/>
    </row>
    <row r="11" spans="1:14" s="347" customFormat="1">
      <c r="A11" s="36" t="s">
        <v>382</v>
      </c>
      <c r="B11" s="260"/>
      <c r="C11" s="37" t="s">
        <v>218</v>
      </c>
      <c r="D11" s="39">
        <v>0</v>
      </c>
      <c r="E11" s="258">
        <v>0</v>
      </c>
      <c r="F11" s="303">
        <f t="shared" ref="F11:F12" si="0">SUM(G11:M11)</f>
        <v>0</v>
      </c>
      <c r="G11" s="304">
        <v>0</v>
      </c>
      <c r="H11" s="304">
        <v>0</v>
      </c>
      <c r="I11" s="304">
        <v>0</v>
      </c>
      <c r="J11" s="304">
        <v>0</v>
      </c>
      <c r="K11" s="304">
        <v>0</v>
      </c>
      <c r="L11" s="304">
        <v>0</v>
      </c>
      <c r="M11" s="305"/>
      <c r="N11" s="320"/>
    </row>
    <row r="12" spans="1:14" s="347" customFormat="1">
      <c r="A12" s="36" t="s">
        <v>382</v>
      </c>
      <c r="B12" s="260"/>
      <c r="C12" s="37" t="s">
        <v>218</v>
      </c>
      <c r="D12" s="39">
        <v>0</v>
      </c>
      <c r="E12" s="258">
        <v>0</v>
      </c>
      <c r="F12" s="303">
        <f t="shared" si="0"/>
        <v>0</v>
      </c>
      <c r="G12" s="304">
        <v>0</v>
      </c>
      <c r="H12" s="304">
        <v>0</v>
      </c>
      <c r="I12" s="304">
        <v>0</v>
      </c>
      <c r="J12" s="304">
        <v>0</v>
      </c>
      <c r="K12" s="304">
        <v>0</v>
      </c>
      <c r="L12" s="304">
        <v>0</v>
      </c>
      <c r="M12" s="305">
        <v>0</v>
      </c>
      <c r="N12" s="320"/>
    </row>
    <row r="13" spans="1:14">
      <c r="A13" s="40" t="s">
        <v>219</v>
      </c>
      <c r="B13" s="260"/>
      <c r="C13" s="261"/>
      <c r="D13" s="41">
        <f>SUM(D7:D12)</f>
        <v>1.85</v>
      </c>
      <c r="E13" s="43">
        <f t="shared" ref="E13:M13" si="1">SUM(E7:E12)</f>
        <v>324</v>
      </c>
      <c r="F13" s="43">
        <f t="shared" si="1"/>
        <v>310</v>
      </c>
      <c r="G13" s="43">
        <f t="shared" si="1"/>
        <v>0</v>
      </c>
      <c r="H13" s="43">
        <f t="shared" si="1"/>
        <v>0</v>
      </c>
      <c r="I13" s="43">
        <f t="shared" si="1"/>
        <v>0</v>
      </c>
      <c r="J13" s="43">
        <f t="shared" si="1"/>
        <v>0</v>
      </c>
      <c r="K13" s="43">
        <f t="shared" si="1"/>
        <v>310</v>
      </c>
      <c r="L13" s="43">
        <f t="shared" si="1"/>
        <v>0</v>
      </c>
      <c r="M13" s="43">
        <f t="shared" si="1"/>
        <v>0</v>
      </c>
      <c r="N13" s="318"/>
    </row>
    <row r="14" spans="1:14">
      <c r="A14" s="125" t="s">
        <v>220</v>
      </c>
      <c r="B14" s="126"/>
      <c r="C14" s="127"/>
      <c r="D14" s="126"/>
      <c r="E14" s="126"/>
      <c r="F14" s="87"/>
      <c r="G14" s="87"/>
      <c r="H14" s="87"/>
      <c r="I14" s="87"/>
      <c r="J14" s="87"/>
      <c r="K14" s="87"/>
      <c r="L14" s="87"/>
      <c r="M14" s="87"/>
      <c r="N14" s="128"/>
    </row>
    <row r="15" spans="1:14" s="347" customFormat="1" ht="43.5">
      <c r="A15" s="406" t="s">
        <v>891</v>
      </c>
      <c r="B15" s="259" t="s">
        <v>892</v>
      </c>
      <c r="C15" s="44">
        <v>252</v>
      </c>
      <c r="D15" s="45"/>
      <c r="E15" s="258">
        <v>50</v>
      </c>
      <c r="F15" s="303">
        <f>SUM(G15:M15)</f>
        <v>54</v>
      </c>
      <c r="G15" s="304">
        <v>0</v>
      </c>
      <c r="H15" s="304">
        <v>0</v>
      </c>
      <c r="I15" s="304">
        <v>0</v>
      </c>
      <c r="J15" s="304">
        <v>0</v>
      </c>
      <c r="K15" s="304">
        <f>50+4</f>
        <v>54</v>
      </c>
      <c r="L15" s="304">
        <f>50+4-54</f>
        <v>0</v>
      </c>
      <c r="M15" s="305">
        <v>0</v>
      </c>
      <c r="N15" s="320" t="s">
        <v>1405</v>
      </c>
    </row>
    <row r="16" spans="1:14" s="347" customFormat="1" ht="101.5">
      <c r="A16" s="259" t="s">
        <v>628</v>
      </c>
      <c r="B16" s="259" t="s">
        <v>293</v>
      </c>
      <c r="C16" s="44">
        <v>253</v>
      </c>
      <c r="D16" s="45"/>
      <c r="E16" s="258">
        <v>0</v>
      </c>
      <c r="F16" s="303">
        <f>SUM(G16:M16)</f>
        <v>65</v>
      </c>
      <c r="G16" s="304">
        <v>0</v>
      </c>
      <c r="H16" s="304">
        <v>0</v>
      </c>
      <c r="I16" s="304">
        <v>0</v>
      </c>
      <c r="J16" s="304">
        <v>0</v>
      </c>
      <c r="K16" s="304">
        <v>0</v>
      </c>
      <c r="L16" s="304">
        <v>65</v>
      </c>
      <c r="M16" s="305">
        <v>0</v>
      </c>
      <c r="N16" s="320" t="s">
        <v>991</v>
      </c>
    </row>
    <row r="17" spans="1:15" s="347" customFormat="1">
      <c r="A17" s="259" t="s">
        <v>224</v>
      </c>
      <c r="B17" s="259"/>
      <c r="C17" s="44">
        <v>253</v>
      </c>
      <c r="D17" s="45"/>
      <c r="E17" s="258">
        <v>0</v>
      </c>
      <c r="F17" s="303">
        <f>SUM(G17:M17)</f>
        <v>0</v>
      </c>
      <c r="G17" s="304">
        <v>0</v>
      </c>
      <c r="H17" s="155"/>
      <c r="I17" s="304">
        <v>0</v>
      </c>
      <c r="J17" s="304">
        <v>0</v>
      </c>
      <c r="K17" s="304">
        <v>0</v>
      </c>
      <c r="L17" s="304">
        <f>43+10-53</f>
        <v>0</v>
      </c>
      <c r="M17" s="305">
        <v>0</v>
      </c>
      <c r="N17" s="320"/>
      <c r="O17" s="370"/>
    </row>
    <row r="18" spans="1:15" s="347" customFormat="1">
      <c r="A18" s="259" t="s">
        <v>224</v>
      </c>
      <c r="B18" s="259"/>
      <c r="C18" s="44">
        <v>253</v>
      </c>
      <c r="D18" s="45"/>
      <c r="E18" s="258">
        <v>0</v>
      </c>
      <c r="F18" s="303">
        <f>SUM(G18:M18)</f>
        <v>0</v>
      </c>
      <c r="G18" s="304">
        <v>0</v>
      </c>
      <c r="H18" s="304">
        <v>0</v>
      </c>
      <c r="I18" s="304">
        <v>0</v>
      </c>
      <c r="J18" s="304">
        <v>0</v>
      </c>
      <c r="K18" s="304">
        <v>0</v>
      </c>
      <c r="L18" s="304">
        <v>0</v>
      </c>
      <c r="M18" s="305">
        <v>0</v>
      </c>
      <c r="N18" s="320"/>
      <c r="O18" s="370"/>
    </row>
    <row r="19" spans="1:15">
      <c r="A19" s="40" t="s">
        <v>225</v>
      </c>
      <c r="B19" s="260"/>
      <c r="C19" s="261"/>
      <c r="D19" s="262">
        <f>SUM(D16:D18)</f>
        <v>0</v>
      </c>
      <c r="E19" s="43">
        <f>SUM(E15:E18)</f>
        <v>50</v>
      </c>
      <c r="F19" s="43">
        <f>SUM(F15:F18)</f>
        <v>119</v>
      </c>
      <c r="G19" s="43">
        <f t="shared" ref="G19:M19" si="2">SUM(G15:G18)</f>
        <v>0</v>
      </c>
      <c r="H19" s="43">
        <f t="shared" si="2"/>
        <v>0</v>
      </c>
      <c r="I19" s="43">
        <f t="shared" si="2"/>
        <v>0</v>
      </c>
      <c r="J19" s="43">
        <f t="shared" si="2"/>
        <v>0</v>
      </c>
      <c r="K19" s="43">
        <f t="shared" si="2"/>
        <v>54</v>
      </c>
      <c r="L19" s="43">
        <f t="shared" si="2"/>
        <v>65</v>
      </c>
      <c r="M19" s="43">
        <f t="shared" si="2"/>
        <v>0</v>
      </c>
      <c r="N19" s="318"/>
      <c r="O19" s="370"/>
    </row>
    <row r="20" spans="1:15" s="7" customFormat="1">
      <c r="A20" s="125" t="s">
        <v>279</v>
      </c>
      <c r="B20" s="126"/>
      <c r="C20" s="127"/>
      <c r="D20" s="126"/>
      <c r="E20" s="126"/>
      <c r="F20" s="87"/>
      <c r="G20" s="87"/>
      <c r="H20" s="87"/>
      <c r="I20" s="87"/>
      <c r="J20" s="87"/>
      <c r="K20" s="87"/>
      <c r="L20" s="87"/>
      <c r="M20" s="87"/>
      <c r="N20" s="128"/>
      <c r="O20" s="351"/>
    </row>
    <row r="21" spans="1:15" s="347" customFormat="1">
      <c r="A21" s="259" t="s">
        <v>227</v>
      </c>
      <c r="B21" s="36"/>
      <c r="C21" s="37" t="s">
        <v>228</v>
      </c>
      <c r="D21" s="38">
        <v>0</v>
      </c>
      <c r="E21" s="258">
        <v>39</v>
      </c>
      <c r="F21" s="303">
        <f>SUM(G21:M21)</f>
        <v>39</v>
      </c>
      <c r="G21" s="304">
        <v>0</v>
      </c>
      <c r="H21" s="304">
        <v>0</v>
      </c>
      <c r="I21" s="304">
        <v>0</v>
      </c>
      <c r="J21" s="304">
        <v>0</v>
      </c>
      <c r="K21" s="304">
        <v>39</v>
      </c>
      <c r="L21" s="304">
        <v>0</v>
      </c>
      <c r="M21" s="305">
        <v>0</v>
      </c>
      <c r="N21" s="320" t="s">
        <v>629</v>
      </c>
      <c r="O21" s="370"/>
    </row>
    <row r="22" spans="1:15" s="347" customFormat="1">
      <c r="A22" s="259" t="s">
        <v>229</v>
      </c>
      <c r="B22" s="36"/>
      <c r="C22" s="44" t="s">
        <v>230</v>
      </c>
      <c r="D22" s="45"/>
      <c r="E22" s="258">
        <v>0</v>
      </c>
      <c r="F22" s="303">
        <f t="shared" ref="F22:F40" si="3">SUM(G22:M22)</f>
        <v>0</v>
      </c>
      <c r="G22" s="304">
        <v>0</v>
      </c>
      <c r="H22" s="304">
        <v>0</v>
      </c>
      <c r="I22" s="304">
        <v>0</v>
      </c>
      <c r="J22" s="304">
        <v>0</v>
      </c>
      <c r="K22" s="304">
        <v>0</v>
      </c>
      <c r="L22" s="304">
        <v>0</v>
      </c>
      <c r="M22" s="305">
        <v>0</v>
      </c>
      <c r="N22" s="348"/>
      <c r="O22" s="370"/>
    </row>
    <row r="23" spans="1:15" s="347" customFormat="1">
      <c r="A23" s="259" t="s">
        <v>231</v>
      </c>
      <c r="B23" s="36"/>
      <c r="C23" s="44" t="s">
        <v>232</v>
      </c>
      <c r="D23" s="45"/>
      <c r="E23" s="258">
        <v>9</v>
      </c>
      <c r="F23" s="303">
        <f t="shared" si="3"/>
        <v>9</v>
      </c>
      <c r="G23" s="304">
        <v>0</v>
      </c>
      <c r="H23" s="304">
        <v>0</v>
      </c>
      <c r="I23" s="304">
        <v>0</v>
      </c>
      <c r="J23" s="304">
        <v>0</v>
      </c>
      <c r="K23" s="304">
        <v>9</v>
      </c>
      <c r="L23" s="304">
        <v>0</v>
      </c>
      <c r="M23" s="305">
        <v>0</v>
      </c>
      <c r="N23" s="348" t="s">
        <v>630</v>
      </c>
      <c r="O23" s="370"/>
    </row>
    <row r="24" spans="1:15" s="347" customFormat="1" ht="15" customHeight="1">
      <c r="A24" s="259" t="s">
        <v>233</v>
      </c>
      <c r="B24" s="36"/>
      <c r="C24" s="44" t="s">
        <v>234</v>
      </c>
      <c r="D24" s="45"/>
      <c r="E24" s="258">
        <v>4</v>
      </c>
      <c r="F24" s="303">
        <f t="shared" si="3"/>
        <v>4</v>
      </c>
      <c r="G24" s="304">
        <v>0</v>
      </c>
      <c r="H24" s="304">
        <v>0</v>
      </c>
      <c r="I24" s="304">
        <v>0</v>
      </c>
      <c r="J24" s="304">
        <v>0</v>
      </c>
      <c r="K24" s="304">
        <v>4</v>
      </c>
      <c r="L24" s="304">
        <v>0</v>
      </c>
      <c r="M24" s="305">
        <v>0</v>
      </c>
      <c r="N24" s="348" t="s">
        <v>631</v>
      </c>
      <c r="O24" s="370"/>
    </row>
    <row r="25" spans="1:15" s="347" customFormat="1">
      <c r="A25" s="259" t="s">
        <v>235</v>
      </c>
      <c r="B25" s="36"/>
      <c r="C25" s="44">
        <v>251</v>
      </c>
      <c r="D25" s="45"/>
      <c r="E25" s="258">
        <v>0</v>
      </c>
      <c r="F25" s="303">
        <f t="shared" si="3"/>
        <v>0</v>
      </c>
      <c r="G25" s="304">
        <v>0</v>
      </c>
      <c r="H25" s="304">
        <v>0</v>
      </c>
      <c r="I25" s="304">
        <v>0</v>
      </c>
      <c r="J25" s="304">
        <v>0</v>
      </c>
      <c r="K25" s="304">
        <v>0</v>
      </c>
      <c r="L25" s="304">
        <v>0</v>
      </c>
      <c r="M25" s="305">
        <v>0</v>
      </c>
      <c r="N25" s="318"/>
      <c r="O25" s="370"/>
    </row>
    <row r="26" spans="1:15" s="347" customFormat="1">
      <c r="A26" s="259" t="s">
        <v>632</v>
      </c>
      <c r="B26" s="407"/>
      <c r="C26" s="44">
        <v>252</v>
      </c>
      <c r="D26" s="45"/>
      <c r="E26" s="258">
        <v>0</v>
      </c>
      <c r="F26" s="303">
        <f t="shared" si="3"/>
        <v>0</v>
      </c>
      <c r="G26" s="304">
        <v>0</v>
      </c>
      <c r="H26" s="304">
        <v>0</v>
      </c>
      <c r="I26" s="304">
        <v>0</v>
      </c>
      <c r="J26" s="304">
        <v>0</v>
      </c>
      <c r="K26" s="304">
        <v>0</v>
      </c>
      <c r="L26" s="304">
        <v>0</v>
      </c>
      <c r="M26" s="305">
        <v>0</v>
      </c>
      <c r="N26" s="318"/>
      <c r="O26" s="370"/>
    </row>
    <row r="27" spans="1:15" s="347" customFormat="1">
      <c r="A27" s="259" t="s">
        <v>632</v>
      </c>
      <c r="B27" s="407"/>
      <c r="C27" s="44">
        <v>252</v>
      </c>
      <c r="D27" s="45"/>
      <c r="E27" s="258">
        <v>0</v>
      </c>
      <c r="F27" s="303">
        <f t="shared" si="3"/>
        <v>0</v>
      </c>
      <c r="G27" s="304">
        <v>0</v>
      </c>
      <c r="H27" s="304">
        <v>0</v>
      </c>
      <c r="I27" s="304">
        <v>0</v>
      </c>
      <c r="J27" s="304">
        <v>0</v>
      </c>
      <c r="K27" s="304">
        <v>0</v>
      </c>
      <c r="L27" s="304">
        <v>0</v>
      </c>
      <c r="M27" s="305">
        <v>0</v>
      </c>
      <c r="N27" s="318"/>
      <c r="O27" s="370"/>
    </row>
    <row r="28" spans="1:15" s="347" customFormat="1">
      <c r="A28" s="259" t="s">
        <v>632</v>
      </c>
      <c r="B28" s="407"/>
      <c r="C28" s="44">
        <v>252</v>
      </c>
      <c r="D28" s="45"/>
      <c r="E28" s="258">
        <v>0</v>
      </c>
      <c r="F28" s="303">
        <f t="shared" si="3"/>
        <v>0</v>
      </c>
      <c r="G28" s="304">
        <v>0</v>
      </c>
      <c r="H28" s="304">
        <v>0</v>
      </c>
      <c r="I28" s="304">
        <v>0</v>
      </c>
      <c r="J28" s="304">
        <v>0</v>
      </c>
      <c r="K28" s="304">
        <v>0</v>
      </c>
      <c r="L28" s="304">
        <v>0</v>
      </c>
      <c r="M28" s="305">
        <v>0</v>
      </c>
      <c r="N28" s="318"/>
      <c r="O28" s="370"/>
    </row>
    <row r="29" spans="1:15" s="347" customFormat="1" ht="43.5">
      <c r="A29" s="71" t="s">
        <v>633</v>
      </c>
      <c r="B29" s="407" t="s">
        <v>634</v>
      </c>
      <c r="C29" s="44">
        <v>252</v>
      </c>
      <c r="D29" s="45"/>
      <c r="E29" s="258">
        <v>480</v>
      </c>
      <c r="F29" s="303">
        <f t="shared" si="3"/>
        <v>335</v>
      </c>
      <c r="G29" s="304">
        <v>0</v>
      </c>
      <c r="H29" s="304">
        <v>0</v>
      </c>
      <c r="I29" s="304">
        <v>0</v>
      </c>
      <c r="J29" s="304">
        <v>0</v>
      </c>
      <c r="K29" s="304">
        <v>295</v>
      </c>
      <c r="L29" s="304">
        <v>40</v>
      </c>
      <c r="M29" s="305">
        <v>0</v>
      </c>
      <c r="N29" s="318" t="s">
        <v>798</v>
      </c>
      <c r="O29" s="370"/>
    </row>
    <row r="30" spans="1:15" s="347" customFormat="1">
      <c r="A30" s="259" t="s">
        <v>632</v>
      </c>
      <c r="B30" s="406"/>
      <c r="C30" s="44">
        <v>252</v>
      </c>
      <c r="D30" s="45"/>
      <c r="E30" s="258">
        <v>0</v>
      </c>
      <c r="F30" s="303">
        <f t="shared" si="3"/>
        <v>0</v>
      </c>
      <c r="G30" s="304">
        <v>0</v>
      </c>
      <c r="H30" s="304">
        <v>0</v>
      </c>
      <c r="I30" s="304">
        <v>0</v>
      </c>
      <c r="J30" s="304">
        <v>0</v>
      </c>
      <c r="K30" s="304">
        <v>0</v>
      </c>
      <c r="L30" s="304">
        <v>0</v>
      </c>
      <c r="M30" s="305">
        <v>0</v>
      </c>
      <c r="N30" s="407"/>
      <c r="O30" s="307"/>
    </row>
    <row r="31" spans="1:15" s="347" customFormat="1" ht="72.5">
      <c r="A31" s="406" t="s">
        <v>635</v>
      </c>
      <c r="B31" s="406" t="s">
        <v>538</v>
      </c>
      <c r="C31" s="44">
        <v>252</v>
      </c>
      <c r="D31" s="45"/>
      <c r="E31" s="258">
        <v>895</v>
      </c>
      <c r="F31" s="303">
        <f t="shared" si="3"/>
        <v>1520</v>
      </c>
      <c r="G31" s="304">
        <v>0</v>
      </c>
      <c r="H31" s="304">
        <v>0</v>
      </c>
      <c r="I31" s="304">
        <v>0</v>
      </c>
      <c r="J31" s="304">
        <v>0</v>
      </c>
      <c r="K31" s="304">
        <v>1300</v>
      </c>
      <c r="L31" s="304">
        <f>170+50</f>
        <v>220</v>
      </c>
      <c r="M31" s="305">
        <v>0</v>
      </c>
      <c r="N31" s="318" t="s">
        <v>1436</v>
      </c>
      <c r="O31" s="370"/>
    </row>
    <row r="32" spans="1:15" s="347" customFormat="1" ht="43.5">
      <c r="A32" s="406" t="s">
        <v>636</v>
      </c>
      <c r="B32" s="406" t="s">
        <v>586</v>
      </c>
      <c r="C32" s="44">
        <v>252</v>
      </c>
      <c r="D32" s="45"/>
      <c r="E32" s="258">
        <v>651</v>
      </c>
      <c r="F32" s="303">
        <f t="shared" si="3"/>
        <v>0</v>
      </c>
      <c r="G32" s="304">
        <v>0</v>
      </c>
      <c r="H32" s="304">
        <v>0</v>
      </c>
      <c r="I32" s="304">
        <v>0</v>
      </c>
      <c r="J32" s="304">
        <v>0</v>
      </c>
      <c r="K32" s="304">
        <v>0</v>
      </c>
      <c r="L32" s="304">
        <v>0</v>
      </c>
      <c r="M32" s="305">
        <v>0</v>
      </c>
      <c r="N32" s="318" t="s">
        <v>1078</v>
      </c>
      <c r="O32" s="370"/>
    </row>
    <row r="33" spans="1:14" s="347" customFormat="1">
      <c r="A33" s="259" t="s">
        <v>637</v>
      </c>
      <c r="B33" s="36" t="s">
        <v>638</v>
      </c>
      <c r="C33" s="44">
        <v>252</v>
      </c>
      <c r="D33" s="45"/>
      <c r="E33" s="258">
        <v>26</v>
      </c>
      <c r="F33" s="303">
        <f>SUM(G33:M33)</f>
        <v>0</v>
      </c>
      <c r="G33" s="304">
        <v>0</v>
      </c>
      <c r="H33" s="304">
        <v>0</v>
      </c>
      <c r="I33" s="304">
        <v>0</v>
      </c>
      <c r="J33" s="304">
        <v>0</v>
      </c>
      <c r="K33" s="304">
        <v>0</v>
      </c>
      <c r="L33" s="304">
        <v>0</v>
      </c>
      <c r="M33" s="305">
        <v>0</v>
      </c>
      <c r="N33" s="320" t="s">
        <v>1079</v>
      </c>
    </row>
    <row r="34" spans="1:14" s="347" customFormat="1">
      <c r="A34" s="406" t="s">
        <v>527</v>
      </c>
      <c r="B34" s="406"/>
      <c r="C34" s="44">
        <v>252</v>
      </c>
      <c r="D34" s="45"/>
      <c r="E34" s="258">
        <v>0</v>
      </c>
      <c r="F34" s="303">
        <f t="shared" si="3"/>
        <v>0</v>
      </c>
      <c r="G34" s="304">
        <v>0</v>
      </c>
      <c r="H34" s="304">
        <v>0</v>
      </c>
      <c r="I34" s="304">
        <v>0</v>
      </c>
      <c r="J34" s="304">
        <v>0</v>
      </c>
      <c r="K34" s="304">
        <v>0</v>
      </c>
      <c r="L34" s="304">
        <v>0</v>
      </c>
      <c r="M34" s="305">
        <v>0</v>
      </c>
      <c r="N34" s="407"/>
    </row>
    <row r="35" spans="1:14" s="347" customFormat="1" ht="29">
      <c r="A35" s="259" t="s">
        <v>243</v>
      </c>
      <c r="B35" s="36"/>
      <c r="C35" s="44">
        <v>252</v>
      </c>
      <c r="D35" s="45"/>
      <c r="E35" s="258">
        <v>10</v>
      </c>
      <c r="F35" s="303">
        <f t="shared" si="3"/>
        <v>10</v>
      </c>
      <c r="G35" s="304">
        <v>0</v>
      </c>
      <c r="H35" s="304">
        <v>0</v>
      </c>
      <c r="I35" s="304">
        <v>0</v>
      </c>
      <c r="J35" s="304">
        <v>0</v>
      </c>
      <c r="K35" s="304">
        <v>10</v>
      </c>
      <c r="L35" s="304">
        <v>0</v>
      </c>
      <c r="M35" s="305">
        <v>0</v>
      </c>
      <c r="N35" s="407" t="s">
        <v>639</v>
      </c>
    </row>
    <row r="36" spans="1:14" s="347" customFormat="1">
      <c r="A36" s="259" t="s">
        <v>244</v>
      </c>
      <c r="B36" s="36"/>
      <c r="C36" s="44">
        <v>253</v>
      </c>
      <c r="D36" s="259"/>
      <c r="E36" s="258">
        <v>0</v>
      </c>
      <c r="F36" s="303">
        <f t="shared" si="3"/>
        <v>0</v>
      </c>
      <c r="G36" s="304">
        <v>0</v>
      </c>
      <c r="H36" s="304">
        <v>0</v>
      </c>
      <c r="I36" s="304">
        <v>0</v>
      </c>
      <c r="J36" s="304">
        <v>0</v>
      </c>
      <c r="K36" s="304">
        <v>0</v>
      </c>
      <c r="L36" s="304">
        <v>0</v>
      </c>
      <c r="M36" s="305">
        <v>0</v>
      </c>
      <c r="N36" s="318"/>
    </row>
    <row r="37" spans="1:14" s="347" customFormat="1">
      <c r="A37" s="259" t="s">
        <v>245</v>
      </c>
      <c r="B37" s="36"/>
      <c r="C37" s="44">
        <v>255</v>
      </c>
      <c r="D37" s="259"/>
      <c r="E37" s="258">
        <v>0</v>
      </c>
      <c r="F37" s="303">
        <f t="shared" si="3"/>
        <v>0</v>
      </c>
      <c r="G37" s="304">
        <v>0</v>
      </c>
      <c r="H37" s="304">
        <v>0</v>
      </c>
      <c r="I37" s="304">
        <v>0</v>
      </c>
      <c r="J37" s="304">
        <v>0</v>
      </c>
      <c r="K37" s="304">
        <v>0</v>
      </c>
      <c r="L37" s="304">
        <v>0</v>
      </c>
      <c r="M37" s="305">
        <v>0</v>
      </c>
      <c r="N37" s="318"/>
    </row>
    <row r="38" spans="1:14" s="347" customFormat="1">
      <c r="A38" s="259" t="s">
        <v>246</v>
      </c>
      <c r="B38" s="36"/>
      <c r="C38" s="44">
        <v>256</v>
      </c>
      <c r="D38" s="259"/>
      <c r="E38" s="258">
        <v>0</v>
      </c>
      <c r="F38" s="303">
        <f t="shared" si="3"/>
        <v>0</v>
      </c>
      <c r="G38" s="304">
        <v>0</v>
      </c>
      <c r="H38" s="304">
        <v>0</v>
      </c>
      <c r="I38" s="304">
        <v>0</v>
      </c>
      <c r="J38" s="304">
        <v>0</v>
      </c>
      <c r="K38" s="304">
        <v>0</v>
      </c>
      <c r="L38" s="304">
        <v>0</v>
      </c>
      <c r="M38" s="305">
        <v>0</v>
      </c>
      <c r="N38" s="318"/>
    </row>
    <row r="39" spans="1:14" s="347" customFormat="1">
      <c r="A39" s="259" t="s">
        <v>247</v>
      </c>
      <c r="B39" s="36"/>
      <c r="C39" s="44">
        <v>257</v>
      </c>
      <c r="D39" s="259"/>
      <c r="E39" s="258">
        <v>0</v>
      </c>
      <c r="F39" s="303">
        <f t="shared" si="3"/>
        <v>0</v>
      </c>
      <c r="G39" s="304">
        <v>0</v>
      </c>
      <c r="H39" s="304">
        <v>0</v>
      </c>
      <c r="I39" s="304">
        <v>0</v>
      </c>
      <c r="J39" s="304">
        <v>0</v>
      </c>
      <c r="K39" s="304">
        <v>0</v>
      </c>
      <c r="L39" s="304">
        <v>0</v>
      </c>
      <c r="M39" s="305">
        <v>0</v>
      </c>
      <c r="N39" s="318"/>
    </row>
    <row r="40" spans="1:14" s="347" customFormat="1" ht="29">
      <c r="A40" s="259" t="s">
        <v>248</v>
      </c>
      <c r="B40" s="36"/>
      <c r="C40" s="44" t="s">
        <v>249</v>
      </c>
      <c r="D40" s="259"/>
      <c r="E40" s="258">
        <v>2</v>
      </c>
      <c r="F40" s="303">
        <f t="shared" si="3"/>
        <v>2</v>
      </c>
      <c r="G40" s="304">
        <v>0</v>
      </c>
      <c r="H40" s="304">
        <v>0</v>
      </c>
      <c r="I40" s="304">
        <v>0</v>
      </c>
      <c r="J40" s="304">
        <v>0</v>
      </c>
      <c r="K40" s="304">
        <v>2</v>
      </c>
      <c r="L40" s="304">
        <v>0</v>
      </c>
      <c r="M40" s="305">
        <v>0</v>
      </c>
      <c r="N40" s="318" t="s">
        <v>640</v>
      </c>
    </row>
    <row r="41" spans="1:14" s="370" customFormat="1" ht="58">
      <c r="A41" s="260" t="s">
        <v>250</v>
      </c>
      <c r="B41" s="36"/>
      <c r="C41" s="261" t="s">
        <v>251</v>
      </c>
      <c r="D41" s="260"/>
      <c r="E41" s="258">
        <v>10</v>
      </c>
      <c r="F41" s="303">
        <f>SUM(G41:M41)</f>
        <v>25</v>
      </c>
      <c r="G41" s="304">
        <v>0</v>
      </c>
      <c r="H41" s="304">
        <v>0</v>
      </c>
      <c r="I41" s="304">
        <v>0</v>
      </c>
      <c r="J41" s="304">
        <v>0</v>
      </c>
      <c r="K41" s="304">
        <v>25</v>
      </c>
      <c r="L41" s="304">
        <v>0</v>
      </c>
      <c r="M41" s="305">
        <v>0</v>
      </c>
      <c r="N41" s="318" t="s">
        <v>1080</v>
      </c>
    </row>
    <row r="42" spans="1:14" s="347" customFormat="1">
      <c r="A42" s="260" t="s">
        <v>252</v>
      </c>
      <c r="B42" s="378"/>
      <c r="C42" s="261" t="s">
        <v>253</v>
      </c>
      <c r="D42" s="260"/>
      <c r="E42" s="311">
        <v>0</v>
      </c>
      <c r="F42" s="303">
        <f>SUM(G42:M42)</f>
        <v>0</v>
      </c>
      <c r="G42" s="163">
        <v>0</v>
      </c>
      <c r="H42" s="163">
        <v>0</v>
      </c>
      <c r="I42" s="163">
        <v>0</v>
      </c>
      <c r="J42" s="163">
        <v>0</v>
      </c>
      <c r="K42" s="163">
        <f>-4+4</f>
        <v>0</v>
      </c>
      <c r="L42" s="163">
        <v>0</v>
      </c>
      <c r="M42" s="164">
        <v>0</v>
      </c>
      <c r="N42" s="318" t="s">
        <v>1406</v>
      </c>
    </row>
    <row r="43" spans="1:14">
      <c r="A43" s="40" t="s">
        <v>254</v>
      </c>
      <c r="B43" s="260"/>
      <c r="C43" s="261"/>
      <c r="D43" s="262"/>
      <c r="E43" s="42">
        <f t="shared" ref="E43:M43" si="4">SUM(E21:E42)</f>
        <v>2126</v>
      </c>
      <c r="F43" s="43">
        <f t="shared" si="4"/>
        <v>1944</v>
      </c>
      <c r="G43" s="43">
        <f t="shared" si="4"/>
        <v>0</v>
      </c>
      <c r="H43" s="43">
        <f t="shared" si="4"/>
        <v>0</v>
      </c>
      <c r="I43" s="43">
        <f t="shared" si="4"/>
        <v>0</v>
      </c>
      <c r="J43" s="43">
        <f t="shared" si="4"/>
        <v>0</v>
      </c>
      <c r="K43" s="43">
        <f t="shared" si="4"/>
        <v>1684</v>
      </c>
      <c r="L43" s="43">
        <f t="shared" si="4"/>
        <v>260</v>
      </c>
      <c r="M43" s="43">
        <f t="shared" si="4"/>
        <v>0</v>
      </c>
      <c r="N43" s="318"/>
    </row>
    <row r="44" spans="1:14">
      <c r="A44" s="40" t="s">
        <v>255</v>
      </c>
      <c r="B44" s="51"/>
      <c r="C44" s="147"/>
      <c r="D44" s="262"/>
      <c r="E44" s="42"/>
      <c r="F44" s="235">
        <f>SUM(G44:M44)</f>
        <v>540</v>
      </c>
      <c r="G44" s="235"/>
      <c r="H44" s="235"/>
      <c r="I44" s="235"/>
      <c r="J44" s="235"/>
      <c r="K44" s="235">
        <v>540</v>
      </c>
      <c r="L44" s="235"/>
      <c r="M44" s="43"/>
      <c r="N44" s="160"/>
    </row>
    <row r="45" spans="1:14">
      <c r="A45" s="40" t="s">
        <v>256</v>
      </c>
      <c r="B45" s="46"/>
      <c r="C45" s="47"/>
      <c r="D45" s="48">
        <f>D43+D19+D13+D44</f>
        <v>1.85</v>
      </c>
      <c r="E45" s="42">
        <f t="shared" ref="E45:M45" si="5">E43+E19+E13-E44</f>
        <v>2500</v>
      </c>
      <c r="F45" s="17">
        <f t="shared" si="5"/>
        <v>1833</v>
      </c>
      <c r="G45" s="17">
        <f t="shared" si="5"/>
        <v>0</v>
      </c>
      <c r="H45" s="17">
        <f t="shared" si="5"/>
        <v>0</v>
      </c>
      <c r="I45" s="17">
        <f t="shared" si="5"/>
        <v>0</v>
      </c>
      <c r="J45" s="17">
        <f t="shared" si="5"/>
        <v>0</v>
      </c>
      <c r="K45" s="17">
        <f t="shared" si="5"/>
        <v>1508</v>
      </c>
      <c r="L45" s="17">
        <f t="shared" si="5"/>
        <v>325</v>
      </c>
      <c r="M45" s="17">
        <f t="shared" si="5"/>
        <v>0</v>
      </c>
      <c r="N45" s="345"/>
    </row>
    <row r="46" spans="1:14">
      <c r="A46" s="370"/>
      <c r="B46" s="214" t="s">
        <v>478</v>
      </c>
      <c r="C46" s="53"/>
      <c r="D46" s="53"/>
      <c r="E46" s="243">
        <f>E45</f>
        <v>2500</v>
      </c>
      <c r="F46" s="243">
        <f>F45</f>
        <v>1833</v>
      </c>
      <c r="G46" s="370"/>
      <c r="H46" s="370"/>
      <c r="I46" s="370"/>
      <c r="J46" s="370"/>
      <c r="K46" s="370"/>
      <c r="L46" s="370"/>
      <c r="M46" s="370"/>
      <c r="N46" s="539"/>
    </row>
    <row r="47" spans="1:14">
      <c r="A47" s="370"/>
      <c r="B47" s="370"/>
      <c r="C47" s="370"/>
      <c r="D47" s="370"/>
      <c r="E47" s="370"/>
      <c r="F47" s="370"/>
      <c r="G47" s="370"/>
      <c r="H47" s="370"/>
      <c r="I47" s="370"/>
      <c r="J47" s="370"/>
      <c r="K47" s="370"/>
      <c r="L47" s="370"/>
      <c r="M47" s="370"/>
      <c r="N47" s="539"/>
    </row>
    <row r="48" spans="1:14" s="370" customFormat="1" ht="15" thickBot="1">
      <c r="A48" s="31"/>
      <c r="B48" s="31"/>
      <c r="C48" s="32"/>
      <c r="D48" s="31"/>
      <c r="E48" s="31"/>
      <c r="F48" s="31"/>
      <c r="G48" s="31"/>
      <c r="H48" s="31"/>
      <c r="I48" s="31"/>
      <c r="J48" s="31"/>
      <c r="K48" s="31"/>
      <c r="L48" s="31"/>
      <c r="M48" s="31"/>
      <c r="N48" s="536"/>
    </row>
    <row r="49" spans="1:14" s="370" customFormat="1" ht="15.5">
      <c r="A49" s="873" t="s">
        <v>257</v>
      </c>
      <c r="B49" s="874"/>
      <c r="C49" s="874"/>
      <c r="D49" s="874"/>
      <c r="E49" s="874"/>
      <c r="F49" s="874"/>
      <c r="G49" s="550"/>
      <c r="H49" s="31"/>
      <c r="I49" s="31"/>
      <c r="J49" s="31"/>
      <c r="K49" s="31"/>
      <c r="L49" s="31"/>
      <c r="M49" s="31"/>
      <c r="N49" s="536"/>
    </row>
    <row r="50" spans="1:14" s="370" customFormat="1" ht="15.5">
      <c r="A50" s="875"/>
      <c r="B50" s="876"/>
      <c r="C50" s="876"/>
      <c r="D50" s="876"/>
      <c r="E50" s="876"/>
      <c r="F50" s="876"/>
      <c r="G50" s="551"/>
      <c r="H50" s="31"/>
      <c r="I50" s="31"/>
      <c r="J50" s="31"/>
      <c r="K50" s="31"/>
      <c r="L50" s="31"/>
      <c r="M50" s="31"/>
      <c r="N50" s="536"/>
    </row>
    <row r="51" spans="1:14" s="370" customFormat="1">
      <c r="A51" s="877" t="s">
        <v>258</v>
      </c>
      <c r="B51" s="878"/>
      <c r="C51" s="552"/>
      <c r="D51" s="552"/>
      <c r="E51" s="552"/>
      <c r="F51" s="552"/>
      <c r="G51" s="551"/>
      <c r="H51" s="31"/>
      <c r="I51" s="31"/>
      <c r="J51" s="31"/>
      <c r="K51" s="31"/>
      <c r="L51" s="31"/>
      <c r="M51" s="31"/>
      <c r="N51" s="536"/>
    </row>
    <row r="52" spans="1:14" s="370" customFormat="1">
      <c r="A52" s="553" t="s">
        <v>1009</v>
      </c>
      <c r="B52" s="554">
        <f>+E45</f>
        <v>2500</v>
      </c>
      <c r="C52" s="555"/>
      <c r="D52" s="556"/>
      <c r="E52" s="556"/>
      <c r="F52" s="556"/>
      <c r="G52" s="551"/>
      <c r="H52" s="31"/>
      <c r="I52" s="31"/>
      <c r="J52" s="31"/>
      <c r="K52" s="31"/>
      <c r="L52" s="31"/>
      <c r="M52" s="31"/>
      <c r="N52" s="536"/>
    </row>
    <row r="53" spans="1:14" s="370" customFormat="1">
      <c r="A53" s="557" t="s">
        <v>1010</v>
      </c>
      <c r="B53" s="558">
        <f>+F45</f>
        <v>1833</v>
      </c>
      <c r="C53" s="555"/>
      <c r="D53" s="556"/>
      <c r="E53" s="556"/>
      <c r="F53" s="556"/>
      <c r="G53" s="551"/>
      <c r="H53" s="31"/>
      <c r="I53" s="31"/>
      <c r="J53" s="31"/>
      <c r="K53" s="31"/>
      <c r="L53" s="31"/>
      <c r="M53" s="31"/>
      <c r="N53" s="536"/>
    </row>
    <row r="54" spans="1:14" s="370" customFormat="1">
      <c r="A54" s="559" t="s">
        <v>259</v>
      </c>
      <c r="B54" s="560">
        <f>+B53-B52</f>
        <v>-667</v>
      </c>
      <c r="C54" s="555"/>
      <c r="D54" s="556"/>
      <c r="E54" s="556"/>
      <c r="F54" s="556"/>
      <c r="G54" s="551"/>
      <c r="H54" s="31"/>
      <c r="I54" s="31"/>
      <c r="J54" s="31"/>
      <c r="K54" s="31"/>
      <c r="L54" s="31"/>
      <c r="M54" s="31"/>
      <c r="N54" s="536"/>
    </row>
    <row r="55" spans="1:14" s="370" customFormat="1">
      <c r="A55" s="559" t="s">
        <v>260</v>
      </c>
      <c r="B55" s="561">
        <f>+B54/B52</f>
        <v>-0.26679999999999998</v>
      </c>
      <c r="C55" s="555"/>
      <c r="D55" s="556"/>
      <c r="E55" s="556"/>
      <c r="F55" s="556"/>
      <c r="G55" s="551"/>
      <c r="H55" s="31"/>
      <c r="I55" s="31"/>
      <c r="J55" s="31"/>
      <c r="K55" s="31"/>
      <c r="L55" s="31"/>
      <c r="M55" s="31"/>
      <c r="N55" s="536"/>
    </row>
    <row r="56" spans="1:14" s="370" customFormat="1">
      <c r="A56" s="562"/>
      <c r="B56" s="556"/>
      <c r="C56" s="660"/>
      <c r="D56" s="556"/>
      <c r="E56" s="556"/>
      <c r="F56" s="556"/>
      <c r="G56" s="551"/>
      <c r="H56" s="31"/>
      <c r="I56" s="31"/>
      <c r="J56" s="31"/>
      <c r="K56" s="31"/>
      <c r="L56" s="31"/>
      <c r="M56" s="31"/>
      <c r="N56" s="536"/>
    </row>
    <row r="57" spans="1:14" s="370" customFormat="1">
      <c r="A57" s="879" t="s">
        <v>261</v>
      </c>
      <c r="B57" s="880"/>
      <c r="C57" s="880"/>
      <c r="D57" s="880"/>
      <c r="E57" s="880"/>
      <c r="F57" s="880"/>
      <c r="G57" s="551"/>
      <c r="H57" s="31"/>
      <c r="I57" s="31"/>
      <c r="J57" s="31"/>
      <c r="K57" s="31"/>
      <c r="L57" s="31"/>
      <c r="M57" s="31"/>
      <c r="N57" s="536"/>
    </row>
    <row r="58" spans="1:14" s="370" customFormat="1">
      <c r="A58" s="881"/>
      <c r="B58" s="882"/>
      <c r="C58" s="882"/>
      <c r="D58" s="882"/>
      <c r="E58" s="882"/>
      <c r="F58" s="883"/>
      <c r="G58" s="551"/>
      <c r="H58" s="31"/>
      <c r="I58" s="31"/>
      <c r="J58" s="31"/>
      <c r="K58" s="31"/>
      <c r="L58" s="31"/>
      <c r="M58" s="31"/>
      <c r="N58" s="536"/>
    </row>
    <row r="59" spans="1:14" s="370" customFormat="1">
      <c r="A59" s="563"/>
      <c r="B59" s="564"/>
      <c r="C59" s="564"/>
      <c r="D59" s="564"/>
      <c r="E59" s="564"/>
      <c r="F59" s="564"/>
      <c r="G59" s="551"/>
      <c r="H59" s="31"/>
      <c r="I59" s="31"/>
      <c r="J59" s="31"/>
      <c r="K59" s="31"/>
      <c r="L59" s="31"/>
      <c r="M59" s="31"/>
      <c r="N59" s="536"/>
    </row>
    <row r="60" spans="1:14" s="370" customFormat="1">
      <c r="A60" s="565" t="s">
        <v>262</v>
      </c>
      <c r="B60" s="556"/>
      <c r="C60" s="660"/>
      <c r="D60" s="556"/>
      <c r="E60" s="556"/>
      <c r="F60" s="556"/>
      <c r="G60" s="551"/>
      <c r="H60" s="31"/>
      <c r="I60" s="31"/>
      <c r="J60" s="31"/>
      <c r="K60" s="31"/>
      <c r="L60" s="31"/>
      <c r="M60" s="31"/>
      <c r="N60" s="536"/>
    </row>
    <row r="61" spans="1:14" s="370" customFormat="1">
      <c r="A61" s="884"/>
      <c r="B61" s="885"/>
      <c r="C61" s="885"/>
      <c r="D61" s="885"/>
      <c r="E61" s="885"/>
      <c r="F61" s="886"/>
      <c r="G61" s="551"/>
      <c r="H61" s="31"/>
      <c r="I61" s="31"/>
      <c r="J61" s="31"/>
      <c r="K61" s="31"/>
      <c r="L61" s="31"/>
      <c r="M61" s="31"/>
      <c r="N61" s="536"/>
    </row>
    <row r="62" spans="1:14" s="370" customFormat="1">
      <c r="A62" s="562"/>
      <c r="B62" s="556"/>
      <c r="C62" s="660"/>
      <c r="D62" s="556"/>
      <c r="E62" s="556"/>
      <c r="F62" s="556"/>
      <c r="G62" s="551"/>
      <c r="H62" s="31"/>
      <c r="I62" s="31"/>
      <c r="J62" s="31"/>
      <c r="K62" s="31"/>
      <c r="L62" s="31"/>
      <c r="M62" s="31"/>
      <c r="N62" s="536"/>
    </row>
    <row r="63" spans="1:14" s="370" customFormat="1">
      <c r="A63" s="879" t="s">
        <v>1020</v>
      </c>
      <c r="B63" s="880"/>
      <c r="C63" s="880"/>
      <c r="D63" s="880"/>
      <c r="E63" s="880"/>
      <c r="F63" s="880"/>
      <c r="G63" s="551"/>
      <c r="H63" s="31"/>
      <c r="I63" s="31"/>
      <c r="J63" s="31"/>
      <c r="K63" s="31"/>
      <c r="L63" s="31"/>
      <c r="M63" s="31"/>
      <c r="N63" s="536"/>
    </row>
    <row r="64" spans="1:14" s="370" customFormat="1">
      <c r="A64" s="898" t="s">
        <v>1021</v>
      </c>
      <c r="B64" s="899"/>
      <c r="C64" s="899"/>
      <c r="D64" s="899"/>
      <c r="E64" s="899"/>
      <c r="F64" s="899"/>
      <c r="G64" s="551"/>
      <c r="H64" s="31"/>
      <c r="I64" s="31"/>
      <c r="J64" s="31"/>
      <c r="K64" s="31"/>
      <c r="L64" s="31"/>
      <c r="M64" s="31"/>
      <c r="N64" s="536"/>
    </row>
    <row r="65" spans="1:14" s="370" customFormat="1">
      <c r="A65" s="884"/>
      <c r="B65" s="885"/>
      <c r="C65" s="885"/>
      <c r="D65" s="885"/>
      <c r="E65" s="885"/>
      <c r="F65" s="886"/>
      <c r="G65" s="551"/>
      <c r="H65" s="31"/>
      <c r="I65" s="31"/>
      <c r="J65" s="31"/>
      <c r="K65" s="31"/>
      <c r="L65" s="31"/>
      <c r="M65" s="31"/>
      <c r="N65" s="536"/>
    </row>
    <row r="66" spans="1:14" s="370" customFormat="1">
      <c r="A66" s="565"/>
      <c r="B66" s="556"/>
      <c r="C66" s="660"/>
      <c r="D66" s="556"/>
      <c r="E66" s="556"/>
      <c r="F66" s="556"/>
      <c r="G66" s="551"/>
      <c r="H66" s="31"/>
      <c r="I66" s="31"/>
      <c r="J66" s="31"/>
      <c r="K66" s="31"/>
      <c r="L66" s="31"/>
      <c r="M66" s="31"/>
      <c r="N66" s="536"/>
    </row>
    <row r="67" spans="1:14" s="370" customFormat="1">
      <c r="A67" s="879" t="s">
        <v>264</v>
      </c>
      <c r="B67" s="880"/>
      <c r="C67" s="880"/>
      <c r="D67" s="880"/>
      <c r="E67" s="880"/>
      <c r="F67" s="556"/>
      <c r="G67" s="551"/>
      <c r="H67" s="31"/>
      <c r="I67" s="31"/>
      <c r="J67" s="31"/>
      <c r="K67" s="31"/>
      <c r="L67" s="31"/>
      <c r="M67" s="31"/>
      <c r="N67" s="536"/>
    </row>
    <row r="68" spans="1:14" s="370" customFormat="1">
      <c r="A68" s="889"/>
      <c r="B68" s="890"/>
      <c r="C68" s="890"/>
      <c r="D68" s="890"/>
      <c r="E68" s="890"/>
      <c r="F68" s="891"/>
      <c r="G68" s="551"/>
      <c r="H68" s="31"/>
      <c r="I68" s="31"/>
      <c r="J68" s="31"/>
      <c r="K68" s="31"/>
      <c r="L68" s="31"/>
      <c r="M68" s="31"/>
      <c r="N68" s="536"/>
    </row>
    <row r="69" spans="1:14" s="370" customFormat="1">
      <c r="A69" s="562"/>
      <c r="B69" s="556"/>
      <c r="C69" s="660"/>
      <c r="D69" s="556"/>
      <c r="E69" s="556"/>
      <c r="F69" s="556"/>
      <c r="G69" s="551"/>
      <c r="H69" s="31"/>
      <c r="I69" s="31"/>
      <c r="J69" s="31"/>
      <c r="K69" s="31"/>
      <c r="L69" s="31"/>
      <c r="M69" s="31"/>
      <c r="N69" s="536"/>
    </row>
    <row r="70" spans="1:14" s="370" customFormat="1">
      <c r="A70" s="565" t="s">
        <v>265</v>
      </c>
      <c r="B70" s="556"/>
      <c r="C70" s="660"/>
      <c r="D70" s="556"/>
      <c r="E70" s="556"/>
      <c r="F70" s="556"/>
      <c r="G70" s="551"/>
      <c r="H70" s="31"/>
      <c r="I70" s="31"/>
      <c r="J70" s="31"/>
      <c r="K70" s="31"/>
      <c r="L70" s="31"/>
      <c r="M70" s="31"/>
      <c r="N70" s="536"/>
    </row>
    <row r="71" spans="1:14" s="370" customFormat="1">
      <c r="A71" s="566" t="s">
        <v>266</v>
      </c>
      <c r="B71" s="556"/>
      <c r="C71" s="660"/>
      <c r="D71" s="556"/>
      <c r="E71" s="556"/>
      <c r="F71" s="556"/>
      <c r="G71" s="551"/>
      <c r="H71" s="31"/>
      <c r="I71" s="31"/>
      <c r="J71" s="31"/>
      <c r="K71" s="31"/>
      <c r="L71" s="31"/>
      <c r="M71" s="31"/>
      <c r="N71" s="536"/>
    </row>
    <row r="72" spans="1:14" s="370" customFormat="1" ht="29.9" customHeight="1">
      <c r="A72" s="892" t="s">
        <v>1030</v>
      </c>
      <c r="B72" s="893"/>
      <c r="C72" s="893"/>
      <c r="D72" s="893"/>
      <c r="E72" s="893"/>
      <c r="F72" s="893"/>
      <c r="G72" s="551"/>
      <c r="H72" s="31"/>
      <c r="I72" s="31"/>
      <c r="J72" s="31"/>
      <c r="K72" s="31"/>
      <c r="L72" s="31"/>
      <c r="M72" s="31"/>
      <c r="N72" s="536"/>
    </row>
    <row r="73" spans="1:14" s="370" customFormat="1">
      <c r="A73" s="903"/>
      <c r="B73" s="904"/>
      <c r="C73" s="904"/>
      <c r="D73" s="904"/>
      <c r="E73" s="904"/>
      <c r="F73" s="905"/>
      <c r="G73" s="551"/>
      <c r="H73" s="31"/>
      <c r="I73" s="31"/>
      <c r="J73" s="31"/>
      <c r="K73" s="31"/>
      <c r="L73" s="31"/>
      <c r="M73" s="31"/>
      <c r="N73" s="536"/>
    </row>
    <row r="74" spans="1:14" s="370" customFormat="1">
      <c r="A74" s="894"/>
      <c r="B74" s="895"/>
      <c r="C74" s="895"/>
      <c r="D74" s="895"/>
      <c r="E74" s="895"/>
      <c r="F74" s="895"/>
      <c r="G74" s="551"/>
      <c r="H74" s="31"/>
      <c r="I74" s="31"/>
      <c r="J74" s="31"/>
      <c r="K74" s="31"/>
      <c r="L74" s="31"/>
      <c r="M74" s="31"/>
      <c r="N74" s="536"/>
    </row>
    <row r="75" spans="1:14" s="370" customFormat="1">
      <c r="A75" s="566" t="s">
        <v>268</v>
      </c>
      <c r="B75" s="556"/>
      <c r="C75" s="660"/>
      <c r="D75" s="556"/>
      <c r="E75" s="556"/>
      <c r="F75" s="556"/>
      <c r="G75" s="551"/>
      <c r="H75" s="31"/>
      <c r="I75" s="31"/>
      <c r="J75" s="31"/>
      <c r="K75" s="31"/>
      <c r="L75" s="31"/>
      <c r="M75" s="31"/>
      <c r="N75" s="536"/>
    </row>
    <row r="76" spans="1:14" s="370" customFormat="1" ht="30.65" customHeight="1">
      <c r="A76" s="896" t="s">
        <v>269</v>
      </c>
      <c r="B76" s="897"/>
      <c r="C76" s="897"/>
      <c r="D76" s="897"/>
      <c r="E76" s="897"/>
      <c r="F76" s="897"/>
      <c r="G76" s="551"/>
      <c r="H76" s="31"/>
      <c r="I76" s="31"/>
      <c r="J76" s="31"/>
      <c r="K76" s="31"/>
      <c r="L76" s="31"/>
      <c r="M76" s="31"/>
      <c r="N76" s="536"/>
    </row>
    <row r="77" spans="1:14" s="370" customFormat="1">
      <c r="A77" s="889"/>
      <c r="B77" s="890"/>
      <c r="C77" s="890"/>
      <c r="D77" s="890"/>
      <c r="E77" s="890"/>
      <c r="F77" s="891"/>
      <c r="G77" s="551"/>
      <c r="H77" s="31"/>
      <c r="I77" s="31"/>
      <c r="J77" s="31"/>
      <c r="K77" s="31"/>
      <c r="L77" s="31"/>
      <c r="M77" s="31"/>
      <c r="N77" s="536"/>
    </row>
    <row r="78" spans="1:14" s="370" customFormat="1" ht="15" thickBot="1">
      <c r="A78" s="567"/>
      <c r="B78" s="568"/>
      <c r="C78" s="569"/>
      <c r="D78" s="568"/>
      <c r="E78" s="568"/>
      <c r="F78" s="568"/>
      <c r="G78" s="570"/>
      <c r="H78" s="31"/>
      <c r="I78" s="31"/>
      <c r="J78" s="31"/>
      <c r="K78" s="31"/>
      <c r="L78" s="31"/>
      <c r="M78" s="31"/>
      <c r="N78" s="536"/>
    </row>
    <row r="79" spans="1:14" s="370" customFormat="1">
      <c r="A79" s="31"/>
      <c r="B79" s="31"/>
      <c r="C79" s="32"/>
      <c r="D79" s="31"/>
      <c r="E79" s="31"/>
      <c r="F79" s="31"/>
      <c r="G79" s="31"/>
      <c r="H79" s="31"/>
      <c r="I79" s="31"/>
      <c r="J79" s="31"/>
      <c r="K79" s="31"/>
      <c r="L79" s="31"/>
      <c r="M79" s="31"/>
      <c r="N79" s="536"/>
    </row>
    <row r="80" spans="1:14" s="370" customFormat="1">
      <c r="C80" s="661"/>
      <c r="N80" s="539"/>
    </row>
    <row r="81" spans="3:14" s="370" customFormat="1">
      <c r="C81" s="661"/>
      <c r="N81" s="539"/>
    </row>
    <row r="82" spans="3:14" s="370" customFormat="1">
      <c r="C82" s="661"/>
      <c r="N82" s="539"/>
    </row>
    <row r="83" spans="3:14" s="370" customFormat="1">
      <c r="C83" s="661"/>
      <c r="N83" s="539"/>
    </row>
    <row r="84" spans="3:14" s="370" customFormat="1">
      <c r="C84" s="661"/>
      <c r="N84" s="539"/>
    </row>
  </sheetData>
  <mergeCells count="17">
    <mergeCell ref="A76:F76"/>
    <mergeCell ref="A77:F77"/>
    <mergeCell ref="A67:E67"/>
    <mergeCell ref="A68:F68"/>
    <mergeCell ref="A72:F72"/>
    <mergeCell ref="A73:F73"/>
    <mergeCell ref="A74:F74"/>
    <mergeCell ref="A58:F58"/>
    <mergeCell ref="A61:F61"/>
    <mergeCell ref="A63:F63"/>
    <mergeCell ref="A64:F64"/>
    <mergeCell ref="A65:F65"/>
    <mergeCell ref="A1:N1"/>
    <mergeCell ref="A49:F49"/>
    <mergeCell ref="A50:F50"/>
    <mergeCell ref="A51:B51"/>
    <mergeCell ref="A57:F57"/>
  </mergeCells>
  <printOptions horizontalCentered="1"/>
  <pageMargins left="0.2" right="0.2" top="0.75" bottom="0.75" header="0.3" footer="0.3"/>
  <pageSetup scale="65" fitToHeight="0" orientation="landscape" r:id="rId1"/>
  <headerFooter>
    <oddHeader xml:space="preserve">&amp;CDRAFT NOT FOR DISTRIBUTION, INTERNAL USE ONLY
</oddHead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2" tint="-0.249977111117893"/>
    <pageSetUpPr fitToPage="1"/>
  </sheetPr>
  <dimension ref="A1:N299"/>
  <sheetViews>
    <sheetView zoomScale="70" zoomScaleNormal="70" workbookViewId="0">
      <selection sqref="A1:N1"/>
    </sheetView>
  </sheetViews>
  <sheetFormatPr defaultRowHeight="14.5"/>
  <cols>
    <col min="1" max="1" width="39.54296875" customWidth="1"/>
    <col min="2" max="2" width="16" customWidth="1"/>
    <col min="3" max="3" width="7.7265625" style="30" customWidth="1"/>
    <col min="4" max="4" width="7.81640625" customWidth="1"/>
    <col min="5" max="5" width="10.7265625" customWidth="1"/>
    <col min="6" max="6" width="9.453125"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60.1796875" customWidth="1"/>
  </cols>
  <sheetData>
    <row r="1" spans="1:14" ht="15.5">
      <c r="A1" s="854" t="s">
        <v>346</v>
      </c>
      <c r="B1" s="854"/>
      <c r="C1" s="854"/>
      <c r="D1" s="854"/>
      <c r="E1" s="854"/>
      <c r="F1" s="854"/>
      <c r="G1" s="854"/>
      <c r="H1" s="854"/>
      <c r="I1" s="854"/>
      <c r="J1" s="854"/>
      <c r="K1" s="854"/>
      <c r="L1" s="854"/>
      <c r="M1" s="854"/>
      <c r="N1" s="854"/>
    </row>
    <row r="2" spans="1:14">
      <c r="A2" s="702" t="s">
        <v>914</v>
      </c>
      <c r="B2" s="639"/>
      <c r="C2" s="639"/>
      <c r="D2" s="370"/>
      <c r="E2" s="370"/>
      <c r="F2" s="370"/>
      <c r="G2" s="370"/>
      <c r="H2" s="370"/>
      <c r="I2" s="370"/>
      <c r="J2" s="370"/>
      <c r="K2" s="370"/>
      <c r="L2" s="370"/>
      <c r="M2" s="370"/>
      <c r="N2" s="370"/>
    </row>
    <row r="3" spans="1:14">
      <c r="A3" s="506" t="s">
        <v>913</v>
      </c>
      <c r="B3" s="370"/>
      <c r="C3" s="639"/>
      <c r="D3" s="370"/>
      <c r="E3" s="370"/>
      <c r="F3" s="29"/>
      <c r="G3" s="29"/>
      <c r="H3" s="451" t="s">
        <v>210</v>
      </c>
      <c r="I3" s="370"/>
      <c r="J3" s="370"/>
      <c r="K3" s="370"/>
      <c r="L3" s="370"/>
      <c r="M3" s="370"/>
      <c r="N3" s="370"/>
    </row>
    <row r="4" spans="1:14" ht="26">
      <c r="A4" s="506" t="s">
        <v>804</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s="370" customFormat="1" ht="29">
      <c r="A7" s="36" t="s">
        <v>641</v>
      </c>
      <c r="B7" s="36" t="s">
        <v>582</v>
      </c>
      <c r="C7" s="37" t="s">
        <v>218</v>
      </c>
      <c r="D7" s="38">
        <v>0.33</v>
      </c>
      <c r="E7" s="258">
        <v>65</v>
      </c>
      <c r="F7" s="303">
        <f>SUM(G7:M7)</f>
        <v>66</v>
      </c>
      <c r="G7" s="304">
        <v>0</v>
      </c>
      <c r="H7" s="304">
        <v>0</v>
      </c>
      <c r="I7" s="304">
        <v>0</v>
      </c>
      <c r="J7" s="304">
        <v>0</v>
      </c>
      <c r="K7" s="304">
        <v>66</v>
      </c>
      <c r="L7" s="304">
        <v>0</v>
      </c>
      <c r="M7" s="305">
        <v>0</v>
      </c>
      <c r="N7" s="318" t="s">
        <v>1286</v>
      </c>
    </row>
    <row r="8" spans="1:14" s="370" customFormat="1" ht="15" customHeight="1">
      <c r="A8" s="36" t="s">
        <v>217</v>
      </c>
      <c r="B8" s="36"/>
      <c r="C8" s="37" t="s">
        <v>218</v>
      </c>
      <c r="D8" s="39">
        <v>0</v>
      </c>
      <c r="E8" s="258">
        <v>0</v>
      </c>
      <c r="F8" s="303">
        <f>SUM(G8:M8)</f>
        <v>0</v>
      </c>
      <c r="G8" s="304">
        <v>0</v>
      </c>
      <c r="H8" s="304">
        <v>0</v>
      </c>
      <c r="I8" s="304">
        <v>0</v>
      </c>
      <c r="J8" s="304">
        <v>0</v>
      </c>
      <c r="K8" s="304">
        <v>0</v>
      </c>
      <c r="L8" s="304">
        <v>0</v>
      </c>
      <c r="M8" s="305">
        <v>0</v>
      </c>
      <c r="N8" s="348"/>
    </row>
    <row r="9" spans="1:14" s="370" customFormat="1">
      <c r="A9" s="36" t="s">
        <v>217</v>
      </c>
      <c r="B9" s="259"/>
      <c r="C9" s="37" t="s">
        <v>218</v>
      </c>
      <c r="D9" s="39"/>
      <c r="E9" s="258">
        <v>0</v>
      </c>
      <c r="F9" s="303">
        <f>SUM(G9:M9)</f>
        <v>0</v>
      </c>
      <c r="G9" s="304">
        <v>0</v>
      </c>
      <c r="H9" s="304">
        <v>0</v>
      </c>
      <c r="I9" s="304">
        <v>0</v>
      </c>
      <c r="J9" s="304">
        <v>0</v>
      </c>
      <c r="K9" s="304">
        <v>0</v>
      </c>
      <c r="L9" s="304">
        <v>0</v>
      </c>
      <c r="M9" s="305">
        <v>0</v>
      </c>
      <c r="N9" s="348"/>
    </row>
    <row r="10" spans="1:14" s="370" customFormat="1">
      <c r="A10" s="36" t="s">
        <v>217</v>
      </c>
      <c r="B10" s="260"/>
      <c r="C10" s="37" t="s">
        <v>218</v>
      </c>
      <c r="D10" s="39"/>
      <c r="E10" s="258">
        <v>0</v>
      </c>
      <c r="F10" s="303">
        <f>SUM(G10:M10)</f>
        <v>0</v>
      </c>
      <c r="G10" s="304">
        <v>0</v>
      </c>
      <c r="H10" s="304">
        <v>0</v>
      </c>
      <c r="I10" s="304">
        <v>0</v>
      </c>
      <c r="J10" s="304">
        <v>0</v>
      </c>
      <c r="K10" s="304">
        <v>0</v>
      </c>
      <c r="L10" s="304">
        <v>0</v>
      </c>
      <c r="M10" s="305">
        <v>0</v>
      </c>
      <c r="N10" s="348"/>
    </row>
    <row r="11" spans="1:14" s="370" customFormat="1">
      <c r="A11" s="40" t="s">
        <v>219</v>
      </c>
      <c r="B11" s="260"/>
      <c r="C11" s="261"/>
      <c r="D11" s="41">
        <f t="shared" ref="D11:M11" si="0">SUM(D7:D10)</f>
        <v>0.33</v>
      </c>
      <c r="E11" s="42">
        <f>SUM(E7:E10)</f>
        <v>65</v>
      </c>
      <c r="F11" s="43">
        <f t="shared" si="0"/>
        <v>66</v>
      </c>
      <c r="G11" s="43">
        <f t="shared" si="0"/>
        <v>0</v>
      </c>
      <c r="H11" s="43">
        <f t="shared" si="0"/>
        <v>0</v>
      </c>
      <c r="I11" s="43">
        <f t="shared" si="0"/>
        <v>0</v>
      </c>
      <c r="J11" s="43">
        <f t="shared" si="0"/>
        <v>0</v>
      </c>
      <c r="K11" s="43">
        <f t="shared" si="0"/>
        <v>66</v>
      </c>
      <c r="L11" s="43">
        <f t="shared" si="0"/>
        <v>0</v>
      </c>
      <c r="M11" s="43">
        <f t="shared" si="0"/>
        <v>0</v>
      </c>
      <c r="N11" s="249"/>
    </row>
    <row r="12" spans="1:14" s="370" customFormat="1">
      <c r="A12" s="125" t="s">
        <v>220</v>
      </c>
      <c r="B12" s="126"/>
      <c r="C12" s="127"/>
      <c r="D12" s="126"/>
      <c r="E12" s="126"/>
      <c r="F12" s="87"/>
      <c r="G12" s="87"/>
      <c r="H12" s="87"/>
      <c r="I12" s="87"/>
      <c r="J12" s="87"/>
      <c r="K12" s="87"/>
      <c r="L12" s="87"/>
      <c r="M12" s="87"/>
      <c r="N12" s="87"/>
    </row>
    <row r="13" spans="1:14" s="370" customFormat="1" ht="362" customHeight="1">
      <c r="A13" s="71" t="s">
        <v>642</v>
      </c>
      <c r="B13" s="259" t="s">
        <v>643</v>
      </c>
      <c r="C13" s="44">
        <v>253</v>
      </c>
      <c r="D13" s="45"/>
      <c r="E13" s="258">
        <v>3200</v>
      </c>
      <c r="F13" s="303">
        <f>SUM(G13:M13)</f>
        <v>3865</v>
      </c>
      <c r="G13" s="304">
        <v>0</v>
      </c>
      <c r="H13" s="304">
        <v>0</v>
      </c>
      <c r="I13" s="304">
        <v>0</v>
      </c>
      <c r="J13" s="304">
        <v>0</v>
      </c>
      <c r="K13" s="304">
        <v>3100</v>
      </c>
      <c r="L13" s="304">
        <v>765</v>
      </c>
      <c r="M13" s="305">
        <v>0</v>
      </c>
      <c r="N13" s="91" t="s">
        <v>1287</v>
      </c>
    </row>
    <row r="14" spans="1:14" s="370" customFormat="1">
      <c r="A14" s="530" t="s">
        <v>278</v>
      </c>
      <c r="B14" s="259"/>
      <c r="C14" s="44">
        <v>253</v>
      </c>
      <c r="D14" s="45"/>
      <c r="E14" s="258">
        <v>0</v>
      </c>
      <c r="F14" s="303">
        <f>SUM(G14:M14)</f>
        <v>0</v>
      </c>
      <c r="G14" s="304">
        <v>0</v>
      </c>
      <c r="H14" s="304">
        <v>0</v>
      </c>
      <c r="I14" s="304">
        <v>0</v>
      </c>
      <c r="J14" s="304">
        <v>0</v>
      </c>
      <c r="K14" s="304">
        <v>0</v>
      </c>
      <c r="L14" s="304">
        <v>0</v>
      </c>
      <c r="M14" s="305">
        <v>0</v>
      </c>
      <c r="N14" s="91"/>
    </row>
    <row r="15" spans="1:14" s="370" customFormat="1">
      <c r="A15" s="530" t="s">
        <v>278</v>
      </c>
      <c r="B15" s="259"/>
      <c r="C15" s="44">
        <v>253</v>
      </c>
      <c r="D15" s="262"/>
      <c r="E15" s="258">
        <v>0</v>
      </c>
      <c r="F15" s="303">
        <f>SUM(G15:M15)</f>
        <v>0</v>
      </c>
      <c r="G15" s="304">
        <v>0</v>
      </c>
      <c r="H15" s="304">
        <v>0</v>
      </c>
      <c r="I15" s="304">
        <v>0</v>
      </c>
      <c r="J15" s="304">
        <v>0</v>
      </c>
      <c r="K15" s="304">
        <v>0</v>
      </c>
      <c r="L15" s="304">
        <v>0</v>
      </c>
      <c r="M15" s="305">
        <v>0</v>
      </c>
      <c r="N15" s="320"/>
    </row>
    <row r="16" spans="1:14" s="370" customFormat="1">
      <c r="A16" s="40" t="s">
        <v>225</v>
      </c>
      <c r="B16" s="260"/>
      <c r="C16" s="261"/>
      <c r="D16" s="262">
        <f t="shared" ref="D16:M16" si="1">SUM(D13:D15)</f>
        <v>0</v>
      </c>
      <c r="E16" s="42">
        <f t="shared" si="1"/>
        <v>3200</v>
      </c>
      <c r="F16" s="43">
        <f t="shared" si="1"/>
        <v>3865</v>
      </c>
      <c r="G16" s="43">
        <f t="shared" si="1"/>
        <v>0</v>
      </c>
      <c r="H16" s="43">
        <f t="shared" si="1"/>
        <v>0</v>
      </c>
      <c r="I16" s="43">
        <f t="shared" si="1"/>
        <v>0</v>
      </c>
      <c r="J16" s="43">
        <f t="shared" si="1"/>
        <v>0</v>
      </c>
      <c r="K16" s="43">
        <f t="shared" si="1"/>
        <v>3100</v>
      </c>
      <c r="L16" s="43">
        <f t="shared" si="1"/>
        <v>765</v>
      </c>
      <c r="M16" s="43">
        <f t="shared" si="1"/>
        <v>0</v>
      </c>
      <c r="N16" s="348"/>
    </row>
    <row r="17" spans="1:14" s="351" customFormat="1">
      <c r="A17" s="125" t="s">
        <v>279</v>
      </c>
      <c r="B17" s="126"/>
      <c r="C17" s="127"/>
      <c r="D17" s="126"/>
      <c r="E17" s="126"/>
      <c r="F17" s="87"/>
      <c r="G17" s="87"/>
      <c r="H17" s="87"/>
      <c r="I17" s="87"/>
      <c r="J17" s="87"/>
      <c r="K17" s="87"/>
      <c r="L17" s="87"/>
      <c r="M17" s="87"/>
      <c r="N17" s="87"/>
    </row>
    <row r="18" spans="1:14" s="370" customFormat="1" ht="58">
      <c r="A18" s="259" t="s">
        <v>227</v>
      </c>
      <c r="B18" s="36"/>
      <c r="C18" s="37" t="s">
        <v>228</v>
      </c>
      <c r="D18" s="38">
        <v>0</v>
      </c>
      <c r="E18" s="258">
        <v>4</v>
      </c>
      <c r="F18" s="303">
        <f t="shared" ref="F18:F29" si="2">SUM(G18:M18)</f>
        <v>4</v>
      </c>
      <c r="G18" s="304">
        <v>0</v>
      </c>
      <c r="H18" s="304">
        <v>0</v>
      </c>
      <c r="I18" s="304">
        <v>0</v>
      </c>
      <c r="J18" s="304">
        <v>0</v>
      </c>
      <c r="K18" s="304">
        <v>4</v>
      </c>
      <c r="L18" s="304">
        <v>0</v>
      </c>
      <c r="M18" s="305">
        <v>0</v>
      </c>
      <c r="N18" s="91" t="s">
        <v>645</v>
      </c>
    </row>
    <row r="19" spans="1:14" s="370" customFormat="1">
      <c r="A19" s="259" t="s">
        <v>229</v>
      </c>
      <c r="B19" s="36"/>
      <c r="C19" s="44" t="s">
        <v>230</v>
      </c>
      <c r="D19" s="45"/>
      <c r="E19" s="258">
        <v>0</v>
      </c>
      <c r="F19" s="303">
        <f t="shared" si="2"/>
        <v>0</v>
      </c>
      <c r="G19" s="304">
        <v>0</v>
      </c>
      <c r="H19" s="304">
        <v>0</v>
      </c>
      <c r="I19" s="304">
        <v>0</v>
      </c>
      <c r="J19" s="304">
        <v>0</v>
      </c>
      <c r="K19" s="304">
        <v>0</v>
      </c>
      <c r="L19" s="304">
        <v>0</v>
      </c>
      <c r="M19" s="305">
        <v>0</v>
      </c>
      <c r="N19" s="348"/>
    </row>
    <row r="20" spans="1:14" s="370" customFormat="1">
      <c r="A20" s="259" t="s">
        <v>231</v>
      </c>
      <c r="B20" s="36"/>
      <c r="C20" s="44" t="s">
        <v>232</v>
      </c>
      <c r="D20" s="45"/>
      <c r="E20" s="258">
        <v>0</v>
      </c>
      <c r="F20" s="303">
        <f t="shared" si="2"/>
        <v>0</v>
      </c>
      <c r="G20" s="304">
        <v>0</v>
      </c>
      <c r="H20" s="304">
        <v>0</v>
      </c>
      <c r="I20" s="304">
        <v>0</v>
      </c>
      <c r="J20" s="304">
        <v>0</v>
      </c>
      <c r="K20" s="304">
        <v>0</v>
      </c>
      <c r="L20" s="304">
        <v>0</v>
      </c>
      <c r="M20" s="305">
        <v>0</v>
      </c>
      <c r="N20" s="348"/>
    </row>
    <row r="21" spans="1:14" s="370" customFormat="1">
      <c r="A21" s="259" t="s">
        <v>233</v>
      </c>
      <c r="B21" s="36"/>
      <c r="C21" s="44" t="s">
        <v>234</v>
      </c>
      <c r="D21" s="45"/>
      <c r="E21" s="258">
        <v>0</v>
      </c>
      <c r="F21" s="303">
        <f t="shared" si="2"/>
        <v>0</v>
      </c>
      <c r="G21" s="304">
        <v>0</v>
      </c>
      <c r="H21" s="304">
        <v>0</v>
      </c>
      <c r="I21" s="304">
        <v>0</v>
      </c>
      <c r="J21" s="304">
        <v>0</v>
      </c>
      <c r="K21" s="304">
        <v>0</v>
      </c>
      <c r="L21" s="304">
        <v>0</v>
      </c>
      <c r="M21" s="305">
        <v>0</v>
      </c>
      <c r="N21" s="348"/>
    </row>
    <row r="22" spans="1:14" s="370" customFormat="1">
      <c r="A22" s="259" t="s">
        <v>235</v>
      </c>
      <c r="B22" s="36"/>
      <c r="C22" s="44">
        <v>251</v>
      </c>
      <c r="D22" s="45"/>
      <c r="E22" s="258">
        <v>0</v>
      </c>
      <c r="F22" s="303">
        <f t="shared" si="2"/>
        <v>0</v>
      </c>
      <c r="G22" s="304">
        <v>0</v>
      </c>
      <c r="H22" s="304">
        <v>0</v>
      </c>
      <c r="I22" s="304">
        <v>0</v>
      </c>
      <c r="J22" s="304">
        <v>0</v>
      </c>
      <c r="K22" s="304">
        <v>0</v>
      </c>
      <c r="L22" s="304">
        <v>0</v>
      </c>
      <c r="M22" s="305">
        <v>0</v>
      </c>
      <c r="N22" s="348"/>
    </row>
    <row r="23" spans="1:14" s="370" customFormat="1" ht="72.5">
      <c r="A23" s="406" t="s">
        <v>646</v>
      </c>
      <c r="B23" s="36"/>
      <c r="C23" s="44">
        <v>252</v>
      </c>
      <c r="D23" s="45"/>
      <c r="E23" s="258">
        <v>110</v>
      </c>
      <c r="F23" s="303">
        <f t="shared" si="2"/>
        <v>110</v>
      </c>
      <c r="G23" s="304">
        <v>0</v>
      </c>
      <c r="H23" s="304">
        <v>0</v>
      </c>
      <c r="I23" s="304">
        <v>0</v>
      </c>
      <c r="J23" s="304">
        <v>0</v>
      </c>
      <c r="K23" s="304">
        <v>0</v>
      </c>
      <c r="L23" s="304">
        <v>110</v>
      </c>
      <c r="M23" s="305">
        <v>0</v>
      </c>
      <c r="N23" s="91" t="s">
        <v>1288</v>
      </c>
    </row>
    <row r="24" spans="1:14" s="370" customFormat="1">
      <c r="A24" s="259" t="s">
        <v>243</v>
      </c>
      <c r="B24" s="36"/>
      <c r="C24" s="44">
        <v>252</v>
      </c>
      <c r="D24" s="45"/>
      <c r="E24" s="258">
        <v>0</v>
      </c>
      <c r="F24" s="303">
        <f t="shared" si="2"/>
        <v>0</v>
      </c>
      <c r="G24" s="304">
        <v>0</v>
      </c>
      <c r="H24" s="304">
        <v>0</v>
      </c>
      <c r="I24" s="304">
        <v>0</v>
      </c>
      <c r="J24" s="304">
        <v>0</v>
      </c>
      <c r="K24" s="304">
        <v>0</v>
      </c>
      <c r="L24" s="304">
        <v>0</v>
      </c>
      <c r="M24" s="305">
        <v>0</v>
      </c>
      <c r="N24" s="98"/>
    </row>
    <row r="25" spans="1:14" s="370" customFormat="1">
      <c r="A25" s="259" t="s">
        <v>244</v>
      </c>
      <c r="B25" s="36"/>
      <c r="C25" s="44">
        <v>253</v>
      </c>
      <c r="D25" s="259"/>
      <c r="E25" s="258">
        <v>0</v>
      </c>
      <c r="F25" s="303">
        <f t="shared" si="2"/>
        <v>0</v>
      </c>
      <c r="G25" s="304">
        <v>0</v>
      </c>
      <c r="H25" s="304">
        <v>0</v>
      </c>
      <c r="I25" s="304">
        <v>0</v>
      </c>
      <c r="J25" s="304">
        <v>0</v>
      </c>
      <c r="K25" s="304">
        <v>0</v>
      </c>
      <c r="L25" s="304">
        <v>0</v>
      </c>
      <c r="M25" s="305">
        <v>0</v>
      </c>
      <c r="N25" s="348"/>
    </row>
    <row r="26" spans="1:14" s="370" customFormat="1">
      <c r="A26" s="259" t="s">
        <v>245</v>
      </c>
      <c r="B26" s="36"/>
      <c r="C26" s="44">
        <v>255</v>
      </c>
      <c r="D26" s="259"/>
      <c r="E26" s="258">
        <v>0</v>
      </c>
      <c r="F26" s="303">
        <f t="shared" si="2"/>
        <v>0</v>
      </c>
      <c r="G26" s="304">
        <v>0</v>
      </c>
      <c r="H26" s="304">
        <v>0</v>
      </c>
      <c r="I26" s="304">
        <v>0</v>
      </c>
      <c r="J26" s="304">
        <v>0</v>
      </c>
      <c r="K26" s="304">
        <v>0</v>
      </c>
      <c r="L26" s="304">
        <v>0</v>
      </c>
      <c r="M26" s="305">
        <v>0</v>
      </c>
      <c r="N26" s="348"/>
    </row>
    <row r="27" spans="1:14" s="370" customFormat="1">
      <c r="A27" s="259" t="s">
        <v>246</v>
      </c>
      <c r="B27" s="36"/>
      <c r="C27" s="44">
        <v>256</v>
      </c>
      <c r="D27" s="259"/>
      <c r="E27" s="258">
        <v>0</v>
      </c>
      <c r="F27" s="303">
        <f t="shared" si="2"/>
        <v>0</v>
      </c>
      <c r="G27" s="304">
        <v>0</v>
      </c>
      <c r="H27" s="304">
        <v>0</v>
      </c>
      <c r="I27" s="304">
        <v>0</v>
      </c>
      <c r="J27" s="304">
        <v>0</v>
      </c>
      <c r="K27" s="304">
        <v>0</v>
      </c>
      <c r="L27" s="304">
        <v>0</v>
      </c>
      <c r="M27" s="305">
        <v>0</v>
      </c>
      <c r="N27" s="348"/>
    </row>
    <row r="28" spans="1:14" s="370" customFormat="1">
      <c r="A28" s="259" t="s">
        <v>247</v>
      </c>
      <c r="B28" s="36"/>
      <c r="C28" s="44">
        <v>257</v>
      </c>
      <c r="D28" s="259"/>
      <c r="E28" s="258">
        <v>0</v>
      </c>
      <c r="F28" s="303">
        <f t="shared" si="2"/>
        <v>0</v>
      </c>
      <c r="G28" s="304">
        <v>0</v>
      </c>
      <c r="H28" s="304">
        <v>0</v>
      </c>
      <c r="I28" s="304">
        <v>0</v>
      </c>
      <c r="J28" s="304">
        <v>0</v>
      </c>
      <c r="K28" s="304">
        <v>0</v>
      </c>
      <c r="L28" s="304">
        <v>0</v>
      </c>
      <c r="M28" s="305">
        <v>0</v>
      </c>
      <c r="N28" s="348"/>
    </row>
    <row r="29" spans="1:14" s="370" customFormat="1">
      <c r="A29" s="259" t="s">
        <v>248</v>
      </c>
      <c r="B29" s="36"/>
      <c r="C29" s="44" t="s">
        <v>249</v>
      </c>
      <c r="D29" s="259"/>
      <c r="E29" s="258">
        <v>1</v>
      </c>
      <c r="F29" s="303">
        <f t="shared" si="2"/>
        <v>1</v>
      </c>
      <c r="G29" s="304">
        <v>0</v>
      </c>
      <c r="H29" s="304">
        <v>0</v>
      </c>
      <c r="I29" s="304">
        <v>0</v>
      </c>
      <c r="J29" s="304">
        <v>0</v>
      </c>
      <c r="K29" s="304">
        <v>1</v>
      </c>
      <c r="L29" s="304">
        <v>0</v>
      </c>
      <c r="M29" s="305">
        <v>0</v>
      </c>
      <c r="N29" s="98" t="s">
        <v>647</v>
      </c>
    </row>
    <row r="30" spans="1:14" s="370" customFormat="1">
      <c r="A30" s="260" t="s">
        <v>250</v>
      </c>
      <c r="B30" s="36"/>
      <c r="C30" s="261" t="s">
        <v>251</v>
      </c>
      <c r="D30" s="260"/>
      <c r="E30" s="258">
        <v>0</v>
      </c>
      <c r="F30" s="303">
        <f>SUM(G30:M30)</f>
        <v>0</v>
      </c>
      <c r="G30" s="304">
        <v>0</v>
      </c>
      <c r="H30" s="304">
        <v>0</v>
      </c>
      <c r="I30" s="304">
        <v>0</v>
      </c>
      <c r="J30" s="304">
        <v>0</v>
      </c>
      <c r="K30" s="304">
        <v>0</v>
      </c>
      <c r="L30" s="304">
        <v>0</v>
      </c>
      <c r="M30" s="305">
        <v>0</v>
      </c>
      <c r="N30" s="348"/>
    </row>
    <row r="31" spans="1:14" s="370" customFormat="1">
      <c r="A31" s="601" t="s">
        <v>592</v>
      </c>
      <c r="B31" s="628"/>
      <c r="C31" s="621" t="s">
        <v>253</v>
      </c>
      <c r="D31" s="601"/>
      <c r="E31" s="311">
        <v>0</v>
      </c>
      <c r="F31" s="303">
        <f>SUM(G31:M31)</f>
        <v>0</v>
      </c>
      <c r="G31" s="163">
        <v>0</v>
      </c>
      <c r="H31" s="163">
        <v>0</v>
      </c>
      <c r="I31" s="163">
        <v>0</v>
      </c>
      <c r="J31" s="163">
        <v>0</v>
      </c>
      <c r="K31" s="163">
        <v>0</v>
      </c>
      <c r="L31" s="163">
        <v>0</v>
      </c>
      <c r="M31" s="164">
        <v>0</v>
      </c>
      <c r="N31" s="602"/>
    </row>
    <row r="32" spans="1:14" s="370" customFormat="1">
      <c r="A32" s="40" t="s">
        <v>254</v>
      </c>
      <c r="B32" s="260"/>
      <c r="C32" s="261"/>
      <c r="D32" s="262"/>
      <c r="E32" s="42">
        <f t="shared" ref="E32:M32" si="3">SUM(E18:E31)</f>
        <v>115</v>
      </c>
      <c r="F32" s="43">
        <f t="shared" si="3"/>
        <v>115</v>
      </c>
      <c r="G32" s="43">
        <f t="shared" si="3"/>
        <v>0</v>
      </c>
      <c r="H32" s="43">
        <f t="shared" si="3"/>
        <v>0</v>
      </c>
      <c r="I32" s="43">
        <f t="shared" si="3"/>
        <v>0</v>
      </c>
      <c r="J32" s="43">
        <f t="shared" si="3"/>
        <v>0</v>
      </c>
      <c r="K32" s="43">
        <f t="shared" si="3"/>
        <v>5</v>
      </c>
      <c r="L32" s="43">
        <f t="shared" si="3"/>
        <v>110</v>
      </c>
      <c r="M32" s="43">
        <f t="shared" si="3"/>
        <v>0</v>
      </c>
      <c r="N32" s="348"/>
    </row>
    <row r="33" spans="1:14" s="370" customFormat="1">
      <c r="A33" s="40" t="s">
        <v>255</v>
      </c>
      <c r="B33" s="51"/>
      <c r="C33" s="147"/>
      <c r="D33" s="262"/>
      <c r="E33" s="236">
        <v>0</v>
      </c>
      <c r="F33" s="235">
        <f>SUM(G33:L33)</f>
        <v>1593</v>
      </c>
      <c r="G33" s="235"/>
      <c r="H33" s="235">
        <v>0</v>
      </c>
      <c r="I33" s="235"/>
      <c r="J33" s="235"/>
      <c r="K33" s="235">
        <v>1593</v>
      </c>
      <c r="L33" s="235"/>
      <c r="M33" s="235"/>
      <c r="N33" s="348" t="s">
        <v>1449</v>
      </c>
    </row>
    <row r="34" spans="1:14" s="370" customFormat="1">
      <c r="A34" s="40" t="s">
        <v>256</v>
      </c>
      <c r="B34" s="46"/>
      <c r="C34" s="47"/>
      <c r="D34" s="48">
        <f>D32+D16+D11</f>
        <v>0.33</v>
      </c>
      <c r="E34" s="17">
        <f t="shared" ref="E34:M34" si="4">E32+E16+E11-E33</f>
        <v>3380</v>
      </c>
      <c r="F34" s="17">
        <f t="shared" si="4"/>
        <v>2453</v>
      </c>
      <c r="G34" s="17">
        <f t="shared" si="4"/>
        <v>0</v>
      </c>
      <c r="H34" s="17">
        <f t="shared" si="4"/>
        <v>0</v>
      </c>
      <c r="I34" s="17">
        <f t="shared" si="4"/>
        <v>0</v>
      </c>
      <c r="J34" s="17">
        <f t="shared" si="4"/>
        <v>0</v>
      </c>
      <c r="K34" s="17">
        <f t="shared" si="4"/>
        <v>1578</v>
      </c>
      <c r="L34" s="17">
        <f t="shared" si="4"/>
        <v>875</v>
      </c>
      <c r="M34" s="17">
        <f t="shared" si="4"/>
        <v>0</v>
      </c>
    </row>
    <row r="35" spans="1:14" s="370" customFormat="1">
      <c r="B35" s="264" t="s">
        <v>299</v>
      </c>
      <c r="C35" s="177"/>
      <c r="D35" s="178"/>
      <c r="E35" s="264">
        <f>E34-C38</f>
        <v>2280</v>
      </c>
      <c r="F35" s="264">
        <f>F34-B38</f>
        <v>1353</v>
      </c>
      <c r="N35" s="541"/>
    </row>
    <row r="36" spans="1:14" s="370" customFormat="1">
      <c r="C36" s="639"/>
    </row>
    <row r="37" spans="1:14" s="370" customFormat="1">
      <c r="A37" s="56" t="s">
        <v>300</v>
      </c>
      <c r="B37" s="377" t="s">
        <v>1012</v>
      </c>
      <c r="C37" s="31" t="s">
        <v>735</v>
      </c>
      <c r="D37" s="31"/>
      <c r="E37" s="441"/>
      <c r="F37" s="179"/>
    </row>
    <row r="38" spans="1:14" s="370" customFormat="1">
      <c r="A38" s="36" t="s">
        <v>301</v>
      </c>
      <c r="B38" s="58">
        <v>1100</v>
      </c>
      <c r="C38" s="58">
        <v>1100</v>
      </c>
      <c r="D38" s="31"/>
      <c r="E38" s="441"/>
      <c r="F38" s="31"/>
      <c r="G38" s="159"/>
      <c r="H38" s="159"/>
      <c r="I38" s="159"/>
      <c r="J38" s="159"/>
      <c r="K38" s="159"/>
      <c r="L38" s="159"/>
      <c r="M38" s="159"/>
      <c r="N38" s="159"/>
    </row>
    <row r="39" spans="1:14" s="370" customFormat="1">
      <c r="A39" s="259" t="s">
        <v>302</v>
      </c>
      <c r="B39" s="59">
        <v>0</v>
      </c>
      <c r="C39" s="59">
        <v>0</v>
      </c>
      <c r="D39" s="31"/>
      <c r="E39" s="31"/>
      <c r="F39" s="31"/>
    </row>
    <row r="40" spans="1:14" s="370" customFormat="1">
      <c r="A40" s="60" t="s">
        <v>495</v>
      </c>
      <c r="B40" s="61">
        <f>B38-B39</f>
        <v>1100</v>
      </c>
      <c r="C40" s="61">
        <f>C38-C39</f>
        <v>1100</v>
      </c>
      <c r="D40" s="31"/>
      <c r="E40" s="31"/>
      <c r="F40" s="31"/>
    </row>
    <row r="41" spans="1:14" s="370" customFormat="1" ht="49.75" customHeight="1">
      <c r="A41" s="1038" t="s">
        <v>648</v>
      </c>
      <c r="B41" s="1039"/>
      <c r="C41" s="1039"/>
      <c r="D41" s="31"/>
      <c r="E41" s="31"/>
      <c r="F41" s="31"/>
      <c r="G41" s="31"/>
      <c r="H41" s="31"/>
      <c r="I41" s="31"/>
      <c r="J41" s="31"/>
      <c r="K41" s="31"/>
      <c r="L41" s="31"/>
      <c r="M41" s="31"/>
      <c r="N41" s="536"/>
    </row>
    <row r="42" spans="1:14" s="370" customFormat="1" ht="15" thickBot="1">
      <c r="A42" s="572"/>
      <c r="B42" s="572"/>
      <c r="C42" s="573"/>
      <c r="D42" s="572"/>
      <c r="E42" s="572"/>
      <c r="F42" s="572"/>
      <c r="G42" s="572"/>
      <c r="H42" s="572"/>
      <c r="I42" s="572"/>
      <c r="J42" s="572"/>
      <c r="K42" s="572"/>
      <c r="L42" s="572"/>
      <c r="M42" s="572"/>
      <c r="N42" s="574"/>
    </row>
    <row r="43" spans="1:14" s="370" customFormat="1" ht="15.5">
      <c r="A43" s="994" t="s">
        <v>257</v>
      </c>
      <c r="B43" s="995"/>
      <c r="C43" s="995"/>
      <c r="D43" s="995"/>
      <c r="E43" s="995"/>
      <c r="F43" s="995"/>
      <c r="G43" s="575"/>
      <c r="H43" s="572"/>
      <c r="I43" s="572"/>
      <c r="J43" s="572"/>
      <c r="K43" s="572"/>
      <c r="L43" s="572"/>
      <c r="M43" s="572"/>
      <c r="N43" s="574"/>
    </row>
    <row r="44" spans="1:14" s="370" customFormat="1" ht="15.5">
      <c r="A44" s="996"/>
      <c r="B44" s="997"/>
      <c r="C44" s="997"/>
      <c r="D44" s="997"/>
      <c r="E44" s="997"/>
      <c r="F44" s="997"/>
      <c r="G44" s="576"/>
      <c r="H44" s="572"/>
      <c r="I44" s="572"/>
      <c r="J44" s="572"/>
      <c r="K44" s="572"/>
      <c r="L44" s="572"/>
      <c r="M44" s="572"/>
      <c r="N44" s="574"/>
    </row>
    <row r="45" spans="1:14" s="370" customFormat="1">
      <c r="A45" s="998" t="s">
        <v>258</v>
      </c>
      <c r="B45" s="999"/>
      <c r="C45" s="577"/>
      <c r="D45" s="577"/>
      <c r="E45" s="577"/>
      <c r="F45" s="577"/>
      <c r="G45" s="576"/>
      <c r="H45" s="572"/>
      <c r="I45" s="572"/>
      <c r="J45" s="572"/>
      <c r="K45" s="572"/>
      <c r="L45" s="572"/>
      <c r="M45" s="572"/>
      <c r="N45" s="574"/>
    </row>
    <row r="46" spans="1:14" s="370" customFormat="1">
      <c r="A46" s="705" t="s">
        <v>1009</v>
      </c>
      <c r="B46" s="706">
        <f>E34</f>
        <v>3380</v>
      </c>
      <c r="C46" s="580"/>
      <c r="D46" s="581"/>
      <c r="E46" s="581"/>
      <c r="F46" s="581"/>
      <c r="G46" s="576"/>
      <c r="H46" s="572"/>
      <c r="I46" s="572"/>
      <c r="J46" s="572"/>
      <c r="K46" s="572"/>
      <c r="L46" s="572"/>
      <c r="M46" s="572"/>
      <c r="N46" s="574"/>
    </row>
    <row r="47" spans="1:14" s="370" customFormat="1">
      <c r="A47" s="707" t="s">
        <v>1029</v>
      </c>
      <c r="B47" s="708">
        <f>F34</f>
        <v>2453</v>
      </c>
      <c r="C47" s="580"/>
      <c r="D47" s="581"/>
      <c r="E47" s="581"/>
      <c r="F47" s="581"/>
      <c r="G47" s="576"/>
      <c r="H47" s="572"/>
      <c r="I47" s="572"/>
      <c r="J47" s="572"/>
      <c r="K47" s="572"/>
      <c r="L47" s="572"/>
      <c r="M47" s="572"/>
      <c r="N47" s="574"/>
    </row>
    <row r="48" spans="1:14" s="370" customFormat="1">
      <c r="A48" s="709" t="s">
        <v>259</v>
      </c>
      <c r="B48" s="710">
        <f>B47-B46</f>
        <v>-927</v>
      </c>
      <c r="C48" s="580"/>
      <c r="D48" s="581"/>
      <c r="E48" s="581"/>
      <c r="F48" s="581"/>
      <c r="G48" s="576"/>
      <c r="H48" s="572"/>
      <c r="I48" s="572"/>
      <c r="J48" s="572"/>
      <c r="K48" s="572"/>
      <c r="L48" s="572"/>
      <c r="M48" s="572"/>
      <c r="N48" s="574"/>
    </row>
    <row r="49" spans="1:14" s="370" customFormat="1">
      <c r="A49" s="709" t="s">
        <v>260</v>
      </c>
      <c r="B49" s="711">
        <f>B48/B46</f>
        <v>-0.27426035502958579</v>
      </c>
      <c r="C49" s="1040"/>
      <c r="D49" s="1041"/>
      <c r="E49" s="1041"/>
      <c r="F49" s="1041"/>
      <c r="G49" s="1042"/>
      <c r="H49" s="572"/>
      <c r="I49" s="572"/>
      <c r="J49" s="572"/>
      <c r="K49" s="572"/>
      <c r="L49" s="572"/>
      <c r="M49" s="572"/>
      <c r="N49" s="574"/>
    </row>
    <row r="50" spans="1:14" s="370" customFormat="1">
      <c r="A50" s="587"/>
      <c r="B50" s="581"/>
      <c r="C50" s="588"/>
      <c r="D50" s="581"/>
      <c r="E50" s="581"/>
      <c r="F50" s="581"/>
      <c r="G50" s="576"/>
      <c r="H50" s="572"/>
      <c r="I50" s="572"/>
      <c r="J50" s="572"/>
      <c r="K50" s="572"/>
      <c r="L50" s="572"/>
      <c r="M50" s="572"/>
      <c r="N50" s="574"/>
    </row>
    <row r="51" spans="1:14" s="370" customFormat="1">
      <c r="A51" s="1049" t="s">
        <v>261</v>
      </c>
      <c r="B51" s="1050"/>
      <c r="C51" s="1050"/>
      <c r="D51" s="1050"/>
      <c r="E51" s="1050"/>
      <c r="F51" s="1050"/>
      <c r="G51" s="576"/>
      <c r="H51" s="572"/>
      <c r="I51" s="572"/>
      <c r="J51" s="572"/>
      <c r="K51" s="572"/>
      <c r="L51" s="572"/>
      <c r="M51" s="572"/>
      <c r="N51" s="574"/>
    </row>
    <row r="52" spans="1:14" s="370" customFormat="1" ht="64.5" customHeight="1">
      <c r="A52" s="988" t="s">
        <v>1081</v>
      </c>
      <c r="B52" s="1051"/>
      <c r="C52" s="1051"/>
      <c r="D52" s="1051"/>
      <c r="E52" s="1051"/>
      <c r="F52" s="1051"/>
      <c r="G52" s="576"/>
      <c r="H52" s="572"/>
      <c r="I52" s="572"/>
      <c r="J52" s="572"/>
      <c r="K52" s="572"/>
      <c r="L52" s="572"/>
      <c r="M52" s="572"/>
      <c r="N52" s="574"/>
    </row>
    <row r="53" spans="1:14" s="370" customFormat="1">
      <c r="A53" s="589"/>
      <c r="B53" s="590"/>
      <c r="C53" s="590"/>
      <c r="D53" s="590"/>
      <c r="E53" s="590"/>
      <c r="F53" s="590"/>
      <c r="G53" s="576"/>
      <c r="H53" s="572"/>
      <c r="I53" s="572"/>
      <c r="J53" s="572"/>
      <c r="K53" s="572"/>
      <c r="L53" s="572"/>
      <c r="M53" s="572"/>
      <c r="N53" s="574"/>
    </row>
    <row r="54" spans="1:14" s="370" customFormat="1">
      <c r="A54" s="591" t="s">
        <v>262</v>
      </c>
      <c r="B54" s="581"/>
      <c r="C54" s="588"/>
      <c r="D54" s="581"/>
      <c r="E54" s="581"/>
      <c r="F54" s="581"/>
      <c r="G54" s="576"/>
      <c r="H54" s="572"/>
      <c r="I54" s="572"/>
      <c r="J54" s="572"/>
      <c r="K54" s="572"/>
      <c r="L54" s="572"/>
      <c r="M54" s="572"/>
      <c r="N54" s="574"/>
    </row>
    <row r="55" spans="1:14" s="370" customFormat="1" ht="237" customHeight="1">
      <c r="A55" s="988" t="s">
        <v>1082</v>
      </c>
      <c r="B55" s="1051"/>
      <c r="C55" s="1051"/>
      <c r="D55" s="1051"/>
      <c r="E55" s="1051"/>
      <c r="F55" s="1051"/>
      <c r="G55" s="576"/>
      <c r="H55" s="712"/>
      <c r="I55" s="572"/>
      <c r="J55" s="572"/>
      <c r="K55" s="572"/>
      <c r="L55" s="572"/>
      <c r="M55" s="572"/>
      <c r="N55" s="574"/>
    </row>
    <row r="56" spans="1:14" s="370" customFormat="1">
      <c r="A56" s="587"/>
      <c r="B56" s="581"/>
      <c r="C56" s="588"/>
      <c r="D56" s="581"/>
      <c r="E56" s="581"/>
      <c r="F56" s="581"/>
      <c r="G56" s="576"/>
      <c r="H56" s="572"/>
      <c r="I56" s="572"/>
      <c r="J56" s="572"/>
      <c r="K56" s="572"/>
      <c r="L56" s="572"/>
      <c r="M56" s="572"/>
      <c r="N56" s="574"/>
    </row>
    <row r="57" spans="1:14" s="370" customFormat="1">
      <c r="A57" s="1052" t="s">
        <v>1020</v>
      </c>
      <c r="B57" s="1053"/>
      <c r="C57" s="1053"/>
      <c r="D57" s="1053"/>
      <c r="E57" s="1053"/>
      <c r="F57" s="1053"/>
      <c r="G57" s="576"/>
      <c r="H57" s="572"/>
      <c r="I57" s="572"/>
      <c r="J57" s="572"/>
      <c r="K57" s="572"/>
      <c r="L57" s="572"/>
      <c r="M57" s="572"/>
      <c r="N57" s="574"/>
    </row>
    <row r="58" spans="1:14" s="370" customFormat="1">
      <c r="A58" s="898" t="s">
        <v>1021</v>
      </c>
      <c r="B58" s="899"/>
      <c r="C58" s="899"/>
      <c r="D58" s="899"/>
      <c r="E58" s="899"/>
      <c r="F58" s="899"/>
      <c r="G58" s="576"/>
      <c r="H58" s="572"/>
      <c r="I58" s="572"/>
      <c r="J58" s="572"/>
      <c r="K58" s="572"/>
      <c r="L58" s="572"/>
      <c r="M58" s="572"/>
      <c r="N58" s="574"/>
    </row>
    <row r="59" spans="1:14" s="370" customFormat="1" ht="233" customHeight="1">
      <c r="A59" s="1047" t="s">
        <v>1083</v>
      </c>
      <c r="B59" s="1048"/>
      <c r="C59" s="1048"/>
      <c r="D59" s="1048"/>
      <c r="E59" s="1048"/>
      <c r="F59" s="1048"/>
      <c r="G59" s="576"/>
      <c r="H59" s="712"/>
      <c r="I59" s="572"/>
      <c r="J59" s="572"/>
      <c r="K59" s="572"/>
      <c r="L59" s="572"/>
      <c r="M59" s="572"/>
      <c r="N59" s="574"/>
    </row>
    <row r="60" spans="1:14" s="370" customFormat="1">
      <c r="A60" s="591"/>
      <c r="B60" s="581"/>
      <c r="C60" s="588"/>
      <c r="D60" s="581"/>
      <c r="E60" s="581"/>
      <c r="F60" s="581"/>
      <c r="G60" s="576"/>
      <c r="H60" s="572"/>
      <c r="I60" s="572"/>
      <c r="J60" s="572"/>
      <c r="K60" s="572"/>
      <c r="L60" s="572"/>
      <c r="M60" s="572"/>
      <c r="N60" s="574"/>
    </row>
    <row r="61" spans="1:14" s="370" customFormat="1">
      <c r="A61" s="1049" t="s">
        <v>264</v>
      </c>
      <c r="B61" s="1050"/>
      <c r="C61" s="1050"/>
      <c r="D61" s="1050"/>
      <c r="E61" s="727"/>
      <c r="F61" s="581"/>
      <c r="G61" s="576"/>
      <c r="H61" s="572"/>
      <c r="I61" s="572"/>
      <c r="J61" s="572"/>
      <c r="K61" s="572"/>
      <c r="L61" s="572"/>
      <c r="M61" s="572"/>
      <c r="N61" s="574"/>
    </row>
    <row r="62" spans="1:14" s="370" customFormat="1" ht="217.5" customHeight="1">
      <c r="A62" s="1045" t="s">
        <v>915</v>
      </c>
      <c r="B62" s="1046"/>
      <c r="C62" s="1046"/>
      <c r="D62" s="1046"/>
      <c r="E62" s="1046"/>
      <c r="F62" s="1046"/>
      <c r="G62" s="576"/>
      <c r="H62" s="712"/>
      <c r="I62" s="572"/>
      <c r="J62" s="572"/>
      <c r="K62" s="572"/>
      <c r="L62" s="572"/>
      <c r="M62" s="572"/>
      <c r="N62" s="574"/>
    </row>
    <row r="63" spans="1:14" s="370" customFormat="1">
      <c r="A63" s="587"/>
      <c r="B63" s="581"/>
      <c r="C63" s="588"/>
      <c r="D63" s="581"/>
      <c r="E63" s="581"/>
      <c r="F63" s="581"/>
      <c r="G63" s="576"/>
      <c r="H63" s="572"/>
      <c r="I63" s="572"/>
      <c r="J63" s="572"/>
      <c r="K63" s="572"/>
      <c r="L63" s="572"/>
      <c r="M63" s="572"/>
      <c r="N63" s="574"/>
    </row>
    <row r="64" spans="1:14" s="370" customFormat="1">
      <c r="A64" s="591" t="s">
        <v>567</v>
      </c>
      <c r="B64" s="581"/>
      <c r="C64" s="588"/>
      <c r="D64" s="581"/>
      <c r="E64" s="581"/>
      <c r="F64" s="581"/>
      <c r="G64" s="576"/>
      <c r="H64" s="572"/>
      <c r="I64" s="572"/>
      <c r="J64" s="572"/>
      <c r="K64" s="572"/>
      <c r="L64" s="572"/>
      <c r="M64" s="572"/>
      <c r="N64" s="574"/>
    </row>
    <row r="65" spans="1:14" s="370" customFormat="1">
      <c r="A65" s="592" t="s">
        <v>266</v>
      </c>
      <c r="B65" s="581"/>
      <c r="C65" s="588"/>
      <c r="D65" s="581"/>
      <c r="E65" s="581"/>
      <c r="F65" s="581"/>
      <c r="G65" s="576"/>
      <c r="H65" s="572"/>
      <c r="I65" s="572"/>
      <c r="J65" s="572"/>
      <c r="K65" s="572"/>
      <c r="L65" s="572"/>
      <c r="M65" s="572"/>
      <c r="N65" s="574"/>
    </row>
    <row r="66" spans="1:14" s="370" customFormat="1" ht="36" customHeight="1">
      <c r="A66" s="892" t="s">
        <v>1030</v>
      </c>
      <c r="B66" s="893"/>
      <c r="C66" s="893"/>
      <c r="D66" s="893"/>
      <c r="E66" s="893"/>
      <c r="F66" s="893"/>
      <c r="G66" s="576"/>
      <c r="H66" s="572"/>
      <c r="I66" s="572"/>
      <c r="J66" s="572"/>
      <c r="K66" s="572"/>
      <c r="L66" s="572"/>
      <c r="M66" s="572"/>
      <c r="N66" s="574"/>
    </row>
    <row r="67" spans="1:14" s="370" customFormat="1" ht="354.5" customHeight="1">
      <c r="A67" s="1054" t="s">
        <v>916</v>
      </c>
      <c r="B67" s="1055"/>
      <c r="C67" s="1055"/>
      <c r="D67" s="1055"/>
      <c r="E67" s="1055"/>
      <c r="F67" s="1055"/>
      <c r="G67" s="576"/>
      <c r="H67" s="712"/>
      <c r="I67" s="572"/>
      <c r="J67" s="572"/>
      <c r="K67" s="572"/>
      <c r="L67" s="572"/>
      <c r="M67" s="572"/>
      <c r="N67" s="574"/>
    </row>
    <row r="68" spans="1:14" s="370" customFormat="1">
      <c r="A68" s="1043"/>
      <c r="B68" s="1044"/>
      <c r="C68" s="1044"/>
      <c r="D68" s="1044"/>
      <c r="E68" s="1044"/>
      <c r="F68" s="1044"/>
      <c r="G68" s="576"/>
      <c r="H68" s="572"/>
      <c r="I68" s="572"/>
      <c r="J68" s="572"/>
      <c r="K68" s="572"/>
      <c r="L68" s="572"/>
      <c r="M68" s="572"/>
      <c r="N68" s="574"/>
    </row>
    <row r="69" spans="1:14" s="370" customFormat="1">
      <c r="A69" s="592" t="s">
        <v>268</v>
      </c>
      <c r="B69" s="581"/>
      <c r="C69" s="588"/>
      <c r="D69" s="581"/>
      <c r="E69" s="581"/>
      <c r="F69" s="581"/>
      <c r="G69" s="576"/>
      <c r="H69" s="572"/>
      <c r="I69" s="572"/>
      <c r="J69" s="572"/>
      <c r="K69" s="572"/>
      <c r="L69" s="572"/>
      <c r="M69" s="572"/>
      <c r="N69" s="574"/>
    </row>
    <row r="70" spans="1:14" s="370" customFormat="1" ht="48.25" customHeight="1">
      <c r="A70" s="896" t="s">
        <v>269</v>
      </c>
      <c r="B70" s="897"/>
      <c r="C70" s="897"/>
      <c r="D70" s="897"/>
      <c r="E70" s="897"/>
      <c r="F70" s="897"/>
      <c r="G70" s="576"/>
      <c r="H70" s="572"/>
      <c r="I70" s="572"/>
      <c r="J70" s="572"/>
      <c r="K70" s="572"/>
      <c r="L70" s="572"/>
      <c r="M70" s="572"/>
      <c r="N70" s="574"/>
    </row>
    <row r="71" spans="1:14" s="370" customFormat="1" ht="100.5" customHeight="1">
      <c r="A71" s="1045" t="s">
        <v>1289</v>
      </c>
      <c r="B71" s="1046"/>
      <c r="C71" s="1046"/>
      <c r="D71" s="1046"/>
      <c r="E71" s="1046"/>
      <c r="F71" s="1046"/>
      <c r="G71" s="576"/>
      <c r="H71" s="572"/>
      <c r="I71" s="572"/>
      <c r="J71" s="572"/>
      <c r="K71" s="572"/>
      <c r="L71" s="572"/>
      <c r="M71" s="572"/>
      <c r="N71" s="574"/>
    </row>
    <row r="72" spans="1:14" s="370" customFormat="1" ht="15" thickBot="1">
      <c r="A72" s="593"/>
      <c r="B72" s="594"/>
      <c r="C72" s="595"/>
      <c r="D72" s="594"/>
      <c r="E72" s="594"/>
      <c r="F72" s="594"/>
      <c r="G72" s="596"/>
      <c r="H72" s="572"/>
      <c r="I72" s="572"/>
      <c r="J72" s="572"/>
      <c r="K72" s="572"/>
      <c r="L72" s="572"/>
      <c r="M72" s="572"/>
      <c r="N72" s="574"/>
    </row>
    <row r="73" spans="1:14" s="370" customFormat="1">
      <c r="A73" s="572"/>
      <c r="B73" s="572"/>
      <c r="C73" s="573"/>
      <c r="D73" s="572"/>
      <c r="E73" s="572"/>
      <c r="F73" s="572"/>
      <c r="G73" s="572"/>
      <c r="H73" s="572"/>
      <c r="I73" s="572"/>
      <c r="J73" s="572"/>
      <c r="K73" s="572"/>
      <c r="L73" s="572"/>
      <c r="M73" s="572"/>
      <c r="N73" s="574"/>
    </row>
    <row r="74" spans="1:14" s="370" customFormat="1">
      <c r="A74" s="713"/>
      <c r="B74" s="713"/>
      <c r="C74" s="714"/>
      <c r="D74" s="713"/>
      <c r="E74" s="713"/>
      <c r="F74" s="713"/>
      <c r="G74" s="713"/>
      <c r="H74" s="713"/>
      <c r="I74" s="713"/>
      <c r="J74" s="713"/>
      <c r="K74" s="713"/>
      <c r="L74" s="713"/>
      <c r="M74" s="713"/>
      <c r="N74" s="713"/>
    </row>
    <row r="75" spans="1:14" s="370" customFormat="1">
      <c r="A75" s="713"/>
      <c r="B75" s="713"/>
      <c r="C75" s="714"/>
      <c r="D75" s="713"/>
      <c r="E75" s="713"/>
      <c r="F75" s="713"/>
      <c r="G75" s="713"/>
      <c r="H75" s="713"/>
      <c r="I75" s="713"/>
      <c r="J75" s="713"/>
      <c r="K75" s="713"/>
      <c r="L75" s="713"/>
      <c r="M75" s="713"/>
      <c r="N75" s="713"/>
    </row>
    <row r="76" spans="1:14" s="370" customFormat="1"/>
    <row r="77" spans="1:14" s="370" customFormat="1"/>
    <row r="78" spans="1:14" s="370" customFormat="1"/>
    <row r="79" spans="1:14" s="370" customFormat="1"/>
    <row r="80" spans="1:14" s="370" customFormat="1"/>
    <row r="81" s="370" customFormat="1"/>
    <row r="82" s="370" customFormat="1"/>
    <row r="83" s="370" customFormat="1"/>
    <row r="84" s="370" customFormat="1"/>
    <row r="85" s="370" customFormat="1"/>
    <row r="86" s="370" customFormat="1"/>
    <row r="87" s="370" customFormat="1"/>
    <row r="88" s="370" customFormat="1"/>
    <row r="89" s="370" customFormat="1"/>
    <row r="90" s="370" customFormat="1"/>
    <row r="91" s="370" customFormat="1"/>
    <row r="92" s="370" customFormat="1"/>
    <row r="93" s="370" customFormat="1"/>
    <row r="94" s="370" customFormat="1"/>
    <row r="95" s="370" customFormat="1"/>
    <row r="96" s="370" customFormat="1"/>
    <row r="97" s="370" customFormat="1"/>
    <row r="98" s="370" customFormat="1"/>
    <row r="99" s="370" customFormat="1"/>
    <row r="100" s="370" customFormat="1"/>
    <row r="101" s="370" customFormat="1"/>
    <row r="102" s="370" customFormat="1"/>
    <row r="103" s="370" customFormat="1"/>
    <row r="104" s="370" customFormat="1"/>
    <row r="105" s="370" customFormat="1"/>
    <row r="106" s="370" customFormat="1"/>
    <row r="107" s="370" customFormat="1"/>
    <row r="108" s="370" customFormat="1"/>
    <row r="109" s="370" customFormat="1"/>
    <row r="110" s="370" customFormat="1"/>
    <row r="111" s="370" customFormat="1"/>
    <row r="112" s="370" customFormat="1"/>
    <row r="113" s="370" customFormat="1"/>
    <row r="114" s="370" customFormat="1"/>
    <row r="115" s="370" customFormat="1"/>
    <row r="116" s="370" customFormat="1"/>
    <row r="117" s="370" customFormat="1"/>
    <row r="118" s="370" customFormat="1"/>
    <row r="119" s="370" customFormat="1"/>
    <row r="120" s="370" customFormat="1"/>
    <row r="121" s="370" customFormat="1"/>
    <row r="122" s="370" customFormat="1"/>
    <row r="123" s="370" customFormat="1"/>
    <row r="124" s="370" customFormat="1"/>
    <row r="125" s="370" customFormat="1"/>
    <row r="126" s="370" customFormat="1"/>
    <row r="127" s="370" customFormat="1"/>
    <row r="128" s="370" customFormat="1"/>
    <row r="129" s="370" customFormat="1"/>
    <row r="130" s="370" customFormat="1"/>
    <row r="131" s="370" customFormat="1"/>
    <row r="132" s="370" customFormat="1"/>
    <row r="133" s="370" customFormat="1"/>
    <row r="134" s="370" customFormat="1"/>
    <row r="135" s="370" customFormat="1"/>
    <row r="136" s="370" customFormat="1"/>
    <row r="137" s="370" customFormat="1"/>
    <row r="138" s="370" customFormat="1"/>
    <row r="139" s="370" customFormat="1"/>
    <row r="140" s="370" customFormat="1"/>
    <row r="141" s="370" customFormat="1"/>
    <row r="142" s="370" customFormat="1"/>
    <row r="143" s="370" customFormat="1"/>
    <row r="144" s="370" customFormat="1"/>
    <row r="145" s="370" customFormat="1"/>
    <row r="146" s="370" customFormat="1"/>
    <row r="147" s="370" customFormat="1"/>
    <row r="148" s="370" customFormat="1"/>
    <row r="149" s="370" customFormat="1"/>
    <row r="150" s="370" customFormat="1"/>
    <row r="151" s="370" customFormat="1"/>
    <row r="152" s="370" customFormat="1"/>
    <row r="153" s="370" customFormat="1"/>
    <row r="154" s="370" customFormat="1"/>
    <row r="155" s="370" customFormat="1"/>
    <row r="156" s="370" customFormat="1"/>
    <row r="157" s="370" customFormat="1"/>
    <row r="158" s="370" customFormat="1"/>
    <row r="159" s="370" customFormat="1"/>
    <row r="160" s="370" customFormat="1"/>
    <row r="161" s="370" customFormat="1"/>
    <row r="162" s="370" customFormat="1"/>
    <row r="163" s="370" customFormat="1"/>
    <row r="164" s="370" customFormat="1"/>
    <row r="165" s="370" customFormat="1"/>
    <row r="166" s="370" customFormat="1"/>
    <row r="167" s="370" customFormat="1"/>
    <row r="168" s="370" customFormat="1"/>
    <row r="169" s="370" customFormat="1"/>
    <row r="170" s="370" customFormat="1"/>
    <row r="171" s="370" customFormat="1"/>
    <row r="172" s="370" customFormat="1"/>
    <row r="173" s="370" customFormat="1"/>
    <row r="174" s="370" customFormat="1"/>
    <row r="175" s="370" customFormat="1"/>
    <row r="176" s="370" customFormat="1"/>
    <row r="177" s="370" customFormat="1"/>
    <row r="178" s="370" customFormat="1"/>
    <row r="179" s="370" customFormat="1"/>
    <row r="180" s="370" customFormat="1"/>
    <row r="181" s="370" customFormat="1"/>
    <row r="182" s="370" customFormat="1"/>
    <row r="183" s="370" customFormat="1"/>
    <row r="184" s="370" customFormat="1"/>
    <row r="185" s="370" customFormat="1"/>
    <row r="186" s="370" customFormat="1"/>
    <row r="187" s="370" customFormat="1"/>
    <row r="188" s="370" customFormat="1"/>
    <row r="189" s="370" customFormat="1"/>
    <row r="190" s="370" customFormat="1"/>
    <row r="191" s="370" customFormat="1"/>
    <row r="192" s="370" customFormat="1"/>
    <row r="193" s="370" customFormat="1"/>
    <row r="194" s="370" customFormat="1"/>
    <row r="195" s="370" customFormat="1"/>
    <row r="196" s="370" customFormat="1"/>
    <row r="197" s="370" customFormat="1"/>
    <row r="198" s="370" customFormat="1"/>
    <row r="199" s="370" customFormat="1"/>
    <row r="200" s="370" customFormat="1"/>
    <row r="201" s="370" customFormat="1"/>
    <row r="202" s="370" customFormat="1"/>
    <row r="203" s="370" customFormat="1"/>
    <row r="204" s="370" customFormat="1"/>
    <row r="205" s="370" customFormat="1"/>
    <row r="206" s="370" customFormat="1"/>
    <row r="207" s="370" customFormat="1"/>
    <row r="208" s="370" customFormat="1"/>
    <row r="209" s="370" customFormat="1"/>
    <row r="210" s="370" customFormat="1"/>
    <row r="211" s="370" customFormat="1"/>
    <row r="212" s="370" customFormat="1"/>
    <row r="213" s="370" customFormat="1"/>
    <row r="214" s="370" customFormat="1"/>
    <row r="215" s="370" customFormat="1"/>
    <row r="216" s="370" customFormat="1"/>
    <row r="217" s="370" customFormat="1"/>
    <row r="218" s="370" customFormat="1"/>
    <row r="219" s="370" customFormat="1"/>
    <row r="220" s="370" customFormat="1"/>
    <row r="221" s="370" customFormat="1"/>
    <row r="222" s="370" customFormat="1"/>
    <row r="223" s="370" customFormat="1"/>
    <row r="224" s="370" customFormat="1"/>
    <row r="225" s="370" customFormat="1"/>
    <row r="226" s="370" customFormat="1"/>
    <row r="227" s="370" customFormat="1"/>
    <row r="228" s="370" customFormat="1"/>
    <row r="229" s="370" customFormat="1"/>
    <row r="230" s="370" customFormat="1"/>
    <row r="231" s="370" customFormat="1"/>
    <row r="232" s="370" customFormat="1"/>
    <row r="233" s="370" customFormat="1"/>
    <row r="234" s="370" customFormat="1"/>
    <row r="235" s="370" customFormat="1"/>
    <row r="236" s="370" customFormat="1"/>
    <row r="237" s="370" customFormat="1"/>
    <row r="238" s="370" customFormat="1"/>
    <row r="239" s="370" customFormat="1"/>
    <row r="240" s="370" customFormat="1"/>
    <row r="241" s="370" customFormat="1"/>
    <row r="242" s="370" customFormat="1"/>
    <row r="243" s="370" customFormat="1"/>
    <row r="244" s="370" customFormat="1"/>
    <row r="245" s="370" customFormat="1"/>
    <row r="246" s="370" customFormat="1"/>
    <row r="247" s="370" customFormat="1"/>
    <row r="248" s="370" customFormat="1"/>
    <row r="249" s="370" customFormat="1"/>
    <row r="250" s="370" customFormat="1"/>
    <row r="251" s="370" customFormat="1"/>
    <row r="252" s="370" customFormat="1"/>
    <row r="253" s="370" customFormat="1"/>
    <row r="254" s="370" customFormat="1"/>
    <row r="255" s="370" customFormat="1"/>
    <row r="256" s="370" customFormat="1"/>
    <row r="257" s="370" customFormat="1"/>
    <row r="258" s="370" customFormat="1"/>
    <row r="259" s="370" customFormat="1"/>
    <row r="260" s="370" customFormat="1"/>
    <row r="261" s="370" customFormat="1"/>
    <row r="262" s="370" customFormat="1"/>
    <row r="263" s="370" customFormat="1"/>
    <row r="264" s="370" customFormat="1"/>
    <row r="265" s="370" customFormat="1"/>
    <row r="266" s="370" customFormat="1"/>
    <row r="267" s="370" customFormat="1"/>
    <row r="268" s="370" customFormat="1"/>
    <row r="269" s="370" customFormat="1"/>
    <row r="270" s="370" customFormat="1"/>
    <row r="271" s="370" customFormat="1"/>
    <row r="272" s="370" customFormat="1"/>
    <row r="273" s="370" customFormat="1"/>
    <row r="274" s="370" customFormat="1"/>
    <row r="275" s="370" customFormat="1"/>
    <row r="276" s="370" customFormat="1"/>
    <row r="277" s="370" customFormat="1"/>
    <row r="278" s="370" customFormat="1"/>
    <row r="279" s="370" customFormat="1"/>
    <row r="280" s="370" customFormat="1"/>
    <row r="281" s="370" customFormat="1"/>
    <row r="282" s="370" customFormat="1"/>
    <row r="283" s="370" customFormat="1"/>
    <row r="284" s="370" customFormat="1"/>
    <row r="285" s="370" customFormat="1"/>
    <row r="286" s="370" customFormat="1"/>
    <row r="287" s="370" customFormat="1"/>
    <row r="288" s="370" customFormat="1"/>
    <row r="289" s="370" customFormat="1"/>
    <row r="290" s="370" customFormat="1"/>
    <row r="291" s="370" customFormat="1"/>
    <row r="292" s="370" customFormat="1"/>
    <row r="293" s="370" customFormat="1"/>
    <row r="294" s="370" customFormat="1"/>
    <row r="295" s="370" customFormat="1"/>
    <row r="296" s="370" customFormat="1"/>
    <row r="297" s="370" customFormat="1"/>
    <row r="298" s="370" customFormat="1"/>
    <row r="299" s="370" customFormat="1"/>
  </sheetData>
  <mergeCells count="19">
    <mergeCell ref="C49:G49"/>
    <mergeCell ref="A68:F68"/>
    <mergeCell ref="A70:F70"/>
    <mergeCell ref="A71:F71"/>
    <mergeCell ref="A58:F58"/>
    <mergeCell ref="A59:F59"/>
    <mergeCell ref="A61:D61"/>
    <mergeCell ref="A62:F62"/>
    <mergeCell ref="A66:F66"/>
    <mergeCell ref="A51:F51"/>
    <mergeCell ref="A52:F52"/>
    <mergeCell ref="A55:F55"/>
    <mergeCell ref="A57:F57"/>
    <mergeCell ref="A67:F67"/>
    <mergeCell ref="A1:N1"/>
    <mergeCell ref="A41:C41"/>
    <mergeCell ref="A43:F43"/>
    <mergeCell ref="A44:F44"/>
    <mergeCell ref="A45:B45"/>
  </mergeCells>
  <printOptions horizontalCentered="1"/>
  <pageMargins left="0.2" right="0.2" top="0.75" bottom="0.75" header="0.3" footer="0.3"/>
  <pageSetup scale="68" fitToHeight="0" orientation="landscape" r:id="rId1"/>
  <headerFooter>
    <oddHeader xml:space="preserve">&amp;CDRAFT NOT FOR DISTRIBUTION, INTERNAL USE ONLY
</oddHead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2" tint="-0.249977111117893"/>
    <pageSetUpPr fitToPage="1"/>
  </sheetPr>
  <dimension ref="A1:N90"/>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9" width="7.1796875" customWidth="1"/>
    <col min="10" max="10" width="9.7265625" customWidth="1"/>
    <col min="11" max="11" width="7.7265625" customWidth="1"/>
    <col min="12" max="12" width="9.7265625" customWidth="1"/>
    <col min="13" max="13" width="9.1796875" customWidth="1"/>
    <col min="14" max="14" width="51.7265625" customWidth="1"/>
  </cols>
  <sheetData>
    <row r="1" spans="1:14" ht="15.5">
      <c r="A1" s="854" t="s">
        <v>346</v>
      </c>
      <c r="B1" s="854"/>
      <c r="C1" s="854"/>
      <c r="D1" s="854"/>
      <c r="E1" s="854"/>
      <c r="F1" s="854"/>
      <c r="G1" s="854"/>
      <c r="H1" s="854"/>
      <c r="I1" s="854"/>
      <c r="J1" s="854"/>
      <c r="K1" s="854"/>
      <c r="L1" s="854"/>
      <c r="M1" s="854"/>
      <c r="N1" s="854"/>
    </row>
    <row r="2" spans="1:14" ht="26">
      <c r="A2" s="702" t="s">
        <v>743</v>
      </c>
      <c r="B2" s="370"/>
      <c r="C2" s="639"/>
      <c r="D2" s="370"/>
      <c r="E2" s="370"/>
      <c r="F2" s="370"/>
      <c r="G2" s="370"/>
      <c r="H2" s="370"/>
      <c r="I2" s="370"/>
      <c r="J2" s="370"/>
      <c r="K2" s="370"/>
      <c r="L2" s="370"/>
      <c r="M2" s="370"/>
      <c r="N2" s="370"/>
    </row>
    <row r="3" spans="1:14">
      <c r="A3" s="506" t="s">
        <v>1229</v>
      </c>
      <c r="B3" s="370"/>
      <c r="C3" s="639"/>
      <c r="D3" s="370"/>
      <c r="E3" s="370"/>
      <c r="F3" s="370"/>
      <c r="G3" s="451" t="s">
        <v>210</v>
      </c>
      <c r="H3" s="29"/>
      <c r="I3" s="370"/>
      <c r="J3" s="370"/>
      <c r="K3" s="370"/>
      <c r="L3" s="370"/>
      <c r="M3" s="370"/>
      <c r="N3" s="370"/>
    </row>
    <row r="4" spans="1:14">
      <c r="A4" s="506" t="s">
        <v>1590</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ht="72.5">
      <c r="A7" s="36" t="s">
        <v>217</v>
      </c>
      <c r="B7" s="36"/>
      <c r="C7" s="37" t="s">
        <v>218</v>
      </c>
      <c r="D7" s="38">
        <v>0.11</v>
      </c>
      <c r="E7" s="258">
        <v>15</v>
      </c>
      <c r="F7" s="303">
        <f t="shared" ref="F7:F15" si="0">SUM(G7:M7)</f>
        <v>15</v>
      </c>
      <c r="G7" s="304">
        <v>0</v>
      </c>
      <c r="H7" s="304">
        <v>0</v>
      </c>
      <c r="I7" s="304">
        <v>0</v>
      </c>
      <c r="J7" s="304">
        <v>15</v>
      </c>
      <c r="K7" s="304">
        <v>0</v>
      </c>
      <c r="L7" s="304">
        <v>0</v>
      </c>
      <c r="M7" s="305">
        <v>0</v>
      </c>
      <c r="N7" s="318" t="s">
        <v>1084</v>
      </c>
    </row>
    <row r="8" spans="1:14" ht="15" customHeight="1">
      <c r="A8" s="36" t="s">
        <v>217</v>
      </c>
      <c r="B8" s="36"/>
      <c r="C8" s="37" t="s">
        <v>218</v>
      </c>
      <c r="D8" s="39"/>
      <c r="E8" s="258">
        <v>0</v>
      </c>
      <c r="F8" s="303">
        <f t="shared" si="0"/>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0.11</v>
      </c>
      <c r="E16" s="42">
        <f t="shared" si="1"/>
        <v>15</v>
      </c>
      <c r="F16" s="43">
        <f t="shared" si="1"/>
        <v>15</v>
      </c>
      <c r="G16" s="43">
        <f t="shared" si="1"/>
        <v>0</v>
      </c>
      <c r="H16" s="43">
        <f t="shared" si="1"/>
        <v>0</v>
      </c>
      <c r="I16" s="43">
        <f t="shared" si="1"/>
        <v>0</v>
      </c>
      <c r="J16" s="43">
        <f t="shared" si="1"/>
        <v>15</v>
      </c>
      <c r="K16" s="43">
        <f t="shared" si="1"/>
        <v>0</v>
      </c>
      <c r="L16" s="43">
        <f t="shared" si="1"/>
        <v>0</v>
      </c>
      <c r="M16" s="43">
        <f t="shared" si="1"/>
        <v>0</v>
      </c>
      <c r="N16" s="249"/>
    </row>
    <row r="17" spans="1:14">
      <c r="A17" s="67" t="s">
        <v>220</v>
      </c>
      <c r="B17" s="68"/>
      <c r="C17" s="69"/>
      <c r="D17" s="68"/>
      <c r="E17" s="68"/>
      <c r="F17" s="70"/>
      <c r="G17" s="70"/>
      <c r="H17" s="70"/>
      <c r="I17" s="70"/>
      <c r="J17" s="70"/>
      <c r="K17" s="70"/>
      <c r="L17" s="70"/>
      <c r="M17" s="70"/>
      <c r="N17" s="70"/>
    </row>
    <row r="18" spans="1:14" ht="43.5">
      <c r="A18" s="530" t="s">
        <v>744</v>
      </c>
      <c r="B18" s="71" t="s">
        <v>644</v>
      </c>
      <c r="C18" s="44">
        <v>252</v>
      </c>
      <c r="D18" s="45"/>
      <c r="E18" s="444">
        <v>104</v>
      </c>
      <c r="F18" s="445">
        <f>SUM(G18:M18)</f>
        <v>108</v>
      </c>
      <c r="G18" s="304">
        <v>0</v>
      </c>
      <c r="H18" s="304">
        <v>0</v>
      </c>
      <c r="I18" s="304">
        <v>0</v>
      </c>
      <c r="J18" s="304">
        <v>108</v>
      </c>
      <c r="K18" s="304">
        <v>0</v>
      </c>
      <c r="L18" s="304">
        <v>0</v>
      </c>
      <c r="M18" s="305">
        <v>0</v>
      </c>
      <c r="N18" s="318" t="s">
        <v>1085</v>
      </c>
    </row>
    <row r="19" spans="1:14" ht="145">
      <c r="A19" s="530" t="s">
        <v>744</v>
      </c>
      <c r="B19" s="259" t="s">
        <v>644</v>
      </c>
      <c r="C19" s="44">
        <v>253</v>
      </c>
      <c r="D19" s="45"/>
      <c r="E19" s="258">
        <v>150</v>
      </c>
      <c r="F19" s="350">
        <f>SUM(G19:M19)</f>
        <v>156</v>
      </c>
      <c r="G19" s="304">
        <v>0</v>
      </c>
      <c r="H19" s="304">
        <v>0</v>
      </c>
      <c r="I19" s="304">
        <v>0</v>
      </c>
      <c r="J19" s="304">
        <v>156</v>
      </c>
      <c r="K19" s="304">
        <v>0</v>
      </c>
      <c r="L19" s="304">
        <v>0</v>
      </c>
      <c r="M19" s="305">
        <v>0</v>
      </c>
      <c r="N19" s="318" t="s">
        <v>1086</v>
      </c>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7"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100" t="s">
        <v>225</v>
      </c>
      <c r="B22" s="101"/>
      <c r="C22" s="102"/>
      <c r="D22" s="103">
        <f>SUM(D18:D21)</f>
        <v>0</v>
      </c>
      <c r="E22" s="104">
        <f>SUM(E18:E21)</f>
        <v>254</v>
      </c>
      <c r="F22" s="99">
        <f>SUM(F18:F21)</f>
        <v>264</v>
      </c>
      <c r="G22" s="99">
        <f t="shared" ref="G22:M22" si="2">SUM(G18:G21)</f>
        <v>0</v>
      </c>
      <c r="H22" s="99">
        <f t="shared" si="2"/>
        <v>0</v>
      </c>
      <c r="I22" s="99">
        <f t="shared" si="2"/>
        <v>0</v>
      </c>
      <c r="J22" s="99">
        <f t="shared" si="2"/>
        <v>264</v>
      </c>
      <c r="K22" s="99">
        <f t="shared" si="2"/>
        <v>0</v>
      </c>
      <c r="L22" s="99">
        <f t="shared" si="2"/>
        <v>0</v>
      </c>
      <c r="M22" s="99">
        <f t="shared" si="2"/>
        <v>0</v>
      </c>
      <c r="N22" s="98"/>
    </row>
    <row r="23" spans="1:14" s="7" customFormat="1">
      <c r="A23" s="67" t="s">
        <v>226</v>
      </c>
      <c r="B23" s="68"/>
      <c r="C23" s="69"/>
      <c r="D23" s="68"/>
      <c r="E23" s="68"/>
      <c r="F23" s="70"/>
      <c r="G23" s="70"/>
      <c r="H23" s="70"/>
      <c r="I23" s="70"/>
      <c r="J23" s="70"/>
      <c r="K23" s="70"/>
      <c r="L23" s="70"/>
      <c r="M23" s="70"/>
      <c r="N23" s="70"/>
    </row>
    <row r="24" spans="1:14" ht="15" customHeight="1">
      <c r="A24" s="259" t="s">
        <v>227</v>
      </c>
      <c r="B24" s="36"/>
      <c r="C24" s="37" t="s">
        <v>228</v>
      </c>
      <c r="D24" s="38">
        <v>0</v>
      </c>
      <c r="E24" s="258">
        <v>3</v>
      </c>
      <c r="F24" s="303">
        <f t="shared" ref="F24:F35" si="3">SUM(G24:M24)</f>
        <v>4</v>
      </c>
      <c r="G24" s="304">
        <v>0</v>
      </c>
      <c r="H24" s="304">
        <v>0</v>
      </c>
      <c r="I24" s="304">
        <v>0</v>
      </c>
      <c r="J24" s="304">
        <v>4</v>
      </c>
      <c r="K24" s="304">
        <v>0</v>
      </c>
      <c r="L24" s="304">
        <v>0</v>
      </c>
      <c r="M24" s="305">
        <v>0</v>
      </c>
      <c r="N24" s="318" t="s">
        <v>649</v>
      </c>
    </row>
    <row r="25" spans="1:14">
      <c r="A25" s="259" t="s">
        <v>229</v>
      </c>
      <c r="B25" s="36"/>
      <c r="C25" s="44" t="s">
        <v>230</v>
      </c>
      <c r="D25" s="45"/>
      <c r="E25" s="258">
        <v>0</v>
      </c>
      <c r="F25" s="303">
        <f t="shared" si="3"/>
        <v>0</v>
      </c>
      <c r="G25" s="304">
        <v>0</v>
      </c>
      <c r="H25" s="304">
        <v>0</v>
      </c>
      <c r="I25" s="304">
        <v>0</v>
      </c>
      <c r="J25" s="304">
        <v>0</v>
      </c>
      <c r="K25" s="304">
        <v>0</v>
      </c>
      <c r="L25" s="304">
        <v>0</v>
      </c>
      <c r="M25" s="305">
        <v>0</v>
      </c>
      <c r="N25" s="348"/>
    </row>
    <row r="26" spans="1:14">
      <c r="A26" s="259" t="s">
        <v>231</v>
      </c>
      <c r="B26" s="36"/>
      <c r="C26" s="44" t="s">
        <v>232</v>
      </c>
      <c r="D26" s="45"/>
      <c r="E26" s="258">
        <v>0</v>
      </c>
      <c r="F26" s="303">
        <f t="shared" si="3"/>
        <v>0</v>
      </c>
      <c r="G26" s="304">
        <v>0</v>
      </c>
      <c r="H26" s="304">
        <v>0</v>
      </c>
      <c r="I26" s="304">
        <v>0</v>
      </c>
      <c r="J26" s="304">
        <v>0</v>
      </c>
      <c r="K26" s="304">
        <v>0</v>
      </c>
      <c r="L26" s="304">
        <v>0</v>
      </c>
      <c r="M26" s="305">
        <v>0</v>
      </c>
      <c r="N26" s="348"/>
    </row>
    <row r="27" spans="1:14">
      <c r="A27" s="259" t="s">
        <v>233</v>
      </c>
      <c r="B27" s="36"/>
      <c r="C27" s="44" t="s">
        <v>234</v>
      </c>
      <c r="D27" s="45"/>
      <c r="E27" s="258">
        <v>0</v>
      </c>
      <c r="F27" s="303">
        <f t="shared" si="3"/>
        <v>0</v>
      </c>
      <c r="G27" s="304">
        <v>0</v>
      </c>
      <c r="H27" s="304">
        <v>0</v>
      </c>
      <c r="I27" s="304">
        <v>0</v>
      </c>
      <c r="J27" s="304">
        <v>0</v>
      </c>
      <c r="K27" s="304">
        <v>0</v>
      </c>
      <c r="L27" s="304">
        <v>0</v>
      </c>
      <c r="M27" s="305">
        <v>0</v>
      </c>
      <c r="N27" s="348"/>
    </row>
    <row r="28" spans="1:14">
      <c r="A28" s="259" t="s">
        <v>235</v>
      </c>
      <c r="B28" s="36"/>
      <c r="C28" s="44">
        <v>251</v>
      </c>
      <c r="D28" s="45"/>
      <c r="E28" s="258">
        <v>0</v>
      </c>
      <c r="F28" s="303">
        <f t="shared" si="3"/>
        <v>0</v>
      </c>
      <c r="G28" s="304">
        <v>0</v>
      </c>
      <c r="H28" s="304">
        <v>0</v>
      </c>
      <c r="I28" s="304">
        <v>0</v>
      </c>
      <c r="J28" s="304">
        <v>0</v>
      </c>
      <c r="K28" s="304">
        <v>0</v>
      </c>
      <c r="L28" s="304">
        <v>0</v>
      </c>
      <c r="M28" s="305">
        <v>0</v>
      </c>
      <c r="N28" s="348"/>
    </row>
    <row r="29" spans="1:14">
      <c r="A29" s="259" t="s">
        <v>242</v>
      </c>
      <c r="B29" s="36"/>
      <c r="C29" s="44">
        <v>252</v>
      </c>
      <c r="D29" s="45"/>
      <c r="E29" s="258">
        <v>0</v>
      </c>
      <c r="F29" s="303">
        <f t="shared" si="3"/>
        <v>0</v>
      </c>
      <c r="G29" s="304">
        <v>0</v>
      </c>
      <c r="H29" s="304">
        <v>0</v>
      </c>
      <c r="I29" s="304">
        <v>0</v>
      </c>
      <c r="J29" s="304">
        <v>0</v>
      </c>
      <c r="K29" s="304">
        <v>0</v>
      </c>
      <c r="L29" s="304">
        <v>0</v>
      </c>
      <c r="M29" s="305">
        <v>0</v>
      </c>
      <c r="N29" s="348"/>
    </row>
    <row r="30" spans="1:14">
      <c r="A30" s="259" t="s">
        <v>243</v>
      </c>
      <c r="B30" s="36"/>
      <c r="C30" s="44">
        <v>252</v>
      </c>
      <c r="D30" s="45"/>
      <c r="E30" s="258">
        <v>0</v>
      </c>
      <c r="F30" s="303">
        <f t="shared" si="3"/>
        <v>0</v>
      </c>
      <c r="G30" s="304">
        <v>0</v>
      </c>
      <c r="H30" s="304">
        <v>0</v>
      </c>
      <c r="I30" s="304">
        <v>0</v>
      </c>
      <c r="J30" s="304">
        <v>0</v>
      </c>
      <c r="K30" s="304">
        <v>0</v>
      </c>
      <c r="L30" s="304">
        <v>0</v>
      </c>
      <c r="M30" s="305">
        <v>0</v>
      </c>
      <c r="N30" s="348"/>
    </row>
    <row r="31" spans="1:14">
      <c r="A31" s="259" t="s">
        <v>244</v>
      </c>
      <c r="B31" s="36"/>
      <c r="C31" s="44">
        <v>253</v>
      </c>
      <c r="D31" s="259"/>
      <c r="E31" s="258">
        <v>0</v>
      </c>
      <c r="F31" s="303">
        <f t="shared" si="3"/>
        <v>0</v>
      </c>
      <c r="G31" s="304">
        <v>0</v>
      </c>
      <c r="H31" s="304">
        <v>0</v>
      </c>
      <c r="I31" s="304">
        <v>0</v>
      </c>
      <c r="J31" s="304">
        <v>0</v>
      </c>
      <c r="K31" s="304">
        <v>0</v>
      </c>
      <c r="L31" s="304">
        <v>0</v>
      </c>
      <c r="M31" s="305">
        <v>0</v>
      </c>
      <c r="N31" s="348"/>
    </row>
    <row r="32" spans="1:14">
      <c r="A32" s="259" t="s">
        <v>245</v>
      </c>
      <c r="B32" s="36"/>
      <c r="C32" s="44">
        <v>255</v>
      </c>
      <c r="D32" s="259"/>
      <c r="E32" s="258">
        <v>0</v>
      </c>
      <c r="F32" s="303">
        <f t="shared" si="3"/>
        <v>0</v>
      </c>
      <c r="G32" s="304">
        <v>0</v>
      </c>
      <c r="H32" s="304">
        <v>0</v>
      </c>
      <c r="I32" s="304">
        <v>0</v>
      </c>
      <c r="J32" s="304">
        <v>0</v>
      </c>
      <c r="K32" s="304">
        <v>0</v>
      </c>
      <c r="L32" s="304">
        <v>0</v>
      </c>
      <c r="M32" s="305">
        <v>0</v>
      </c>
      <c r="N32" s="348"/>
    </row>
    <row r="33" spans="1:14">
      <c r="A33" s="259" t="s">
        <v>246</v>
      </c>
      <c r="B33" s="36"/>
      <c r="C33" s="44">
        <v>256</v>
      </c>
      <c r="D33" s="259"/>
      <c r="E33" s="258">
        <v>0</v>
      </c>
      <c r="F33" s="303">
        <f t="shared" si="3"/>
        <v>0</v>
      </c>
      <c r="G33" s="304">
        <v>0</v>
      </c>
      <c r="H33" s="304">
        <v>0</v>
      </c>
      <c r="I33" s="304">
        <v>0</v>
      </c>
      <c r="J33" s="304">
        <v>0</v>
      </c>
      <c r="K33" s="304">
        <v>0</v>
      </c>
      <c r="L33" s="304">
        <v>0</v>
      </c>
      <c r="M33" s="305">
        <v>0</v>
      </c>
      <c r="N33" s="348"/>
    </row>
    <row r="34" spans="1:14">
      <c r="A34" s="259" t="s">
        <v>247</v>
      </c>
      <c r="B34" s="36"/>
      <c r="C34" s="44">
        <v>257</v>
      </c>
      <c r="D34" s="259"/>
      <c r="E34" s="258">
        <v>0</v>
      </c>
      <c r="F34" s="303">
        <f t="shared" si="3"/>
        <v>0</v>
      </c>
      <c r="G34" s="304">
        <v>0</v>
      </c>
      <c r="H34" s="304">
        <v>0</v>
      </c>
      <c r="I34" s="304">
        <v>0</v>
      </c>
      <c r="J34" s="304">
        <v>0</v>
      </c>
      <c r="K34" s="304">
        <v>0</v>
      </c>
      <c r="L34" s="304">
        <v>0</v>
      </c>
      <c r="M34" s="305">
        <v>0</v>
      </c>
      <c r="N34" s="348"/>
    </row>
    <row r="35" spans="1:14">
      <c r="A35" s="259" t="s">
        <v>248</v>
      </c>
      <c r="B35" s="36"/>
      <c r="C35" s="44" t="s">
        <v>249</v>
      </c>
      <c r="D35" s="259"/>
      <c r="E35" s="258">
        <v>0</v>
      </c>
      <c r="F35" s="303">
        <f t="shared" si="3"/>
        <v>0</v>
      </c>
      <c r="G35" s="304">
        <v>0</v>
      </c>
      <c r="H35" s="304">
        <v>0</v>
      </c>
      <c r="I35" s="304">
        <v>0</v>
      </c>
      <c r="J35" s="304">
        <v>0</v>
      </c>
      <c r="K35" s="304">
        <v>0</v>
      </c>
      <c r="L35" s="304">
        <v>0</v>
      </c>
      <c r="M35" s="305">
        <v>0</v>
      </c>
      <c r="N35" s="348"/>
    </row>
    <row r="36" spans="1:14" s="370" customFormat="1">
      <c r="A36" s="260" t="s">
        <v>250</v>
      </c>
      <c r="B36" s="36"/>
      <c r="C36" s="261" t="s">
        <v>251</v>
      </c>
      <c r="D36" s="260"/>
      <c r="E36" s="258">
        <v>0</v>
      </c>
      <c r="F36" s="303">
        <f>SUM(G36:M36)</f>
        <v>0</v>
      </c>
      <c r="G36" s="304">
        <v>0</v>
      </c>
      <c r="H36" s="304">
        <v>0</v>
      </c>
      <c r="I36" s="304">
        <v>0</v>
      </c>
      <c r="J36" s="304">
        <v>0</v>
      </c>
      <c r="K36" s="304">
        <v>0</v>
      </c>
      <c r="L36" s="304">
        <v>0</v>
      </c>
      <c r="M36" s="305">
        <v>0</v>
      </c>
      <c r="N36" s="348"/>
    </row>
    <row r="37" spans="1:14">
      <c r="A37" s="260" t="s">
        <v>252</v>
      </c>
      <c r="B37" s="378"/>
      <c r="C37" s="261" t="s">
        <v>253</v>
      </c>
      <c r="D37" s="260"/>
      <c r="E37" s="311">
        <v>0</v>
      </c>
      <c r="F37" s="303">
        <f>SUM(G37:M37)</f>
        <v>0</v>
      </c>
      <c r="G37" s="163">
        <v>0</v>
      </c>
      <c r="H37" s="163">
        <v>0</v>
      </c>
      <c r="I37" s="163">
        <v>0</v>
      </c>
      <c r="J37" s="163">
        <v>0</v>
      </c>
      <c r="K37" s="163">
        <v>0</v>
      </c>
      <c r="L37" s="163">
        <v>0</v>
      </c>
      <c r="M37" s="164">
        <v>0</v>
      </c>
      <c r="N37" s="318"/>
    </row>
    <row r="38" spans="1:14">
      <c r="A38" s="40" t="s">
        <v>254</v>
      </c>
      <c r="B38" s="260"/>
      <c r="C38" s="261"/>
      <c r="D38" s="262"/>
      <c r="E38" s="42">
        <f t="shared" ref="E38:M38" si="4">SUM(E24:E37)</f>
        <v>3</v>
      </c>
      <c r="F38" s="43">
        <f t="shared" si="4"/>
        <v>4</v>
      </c>
      <c r="G38" s="43">
        <f t="shared" si="4"/>
        <v>0</v>
      </c>
      <c r="H38" s="43">
        <f t="shared" si="4"/>
        <v>0</v>
      </c>
      <c r="I38" s="43">
        <f t="shared" si="4"/>
        <v>0</v>
      </c>
      <c r="J38" s="43">
        <f t="shared" si="4"/>
        <v>4</v>
      </c>
      <c r="K38" s="43">
        <f t="shared" si="4"/>
        <v>0</v>
      </c>
      <c r="L38" s="43">
        <f t="shared" si="4"/>
        <v>0</v>
      </c>
      <c r="M38" s="43">
        <f t="shared" si="4"/>
        <v>0</v>
      </c>
      <c r="N38" s="348"/>
    </row>
    <row r="39" spans="1:14" s="149" customFormat="1">
      <c r="A39" s="40" t="s">
        <v>255</v>
      </c>
      <c r="B39" s="51"/>
      <c r="C39" s="147"/>
      <c r="D39" s="262"/>
      <c r="E39" s="236"/>
      <c r="F39" s="235">
        <v>0</v>
      </c>
      <c r="G39" s="235"/>
      <c r="H39" s="235">
        <v>0</v>
      </c>
      <c r="I39" s="235"/>
      <c r="J39" s="235"/>
      <c r="K39" s="235"/>
      <c r="L39" s="235"/>
      <c r="M39" s="235"/>
      <c r="N39" s="348"/>
    </row>
    <row r="40" spans="1:14" ht="43.5">
      <c r="A40" s="40" t="s">
        <v>256</v>
      </c>
      <c r="B40" s="46"/>
      <c r="C40" s="47"/>
      <c r="D40" s="48">
        <f>D38+D22+D16</f>
        <v>0.11</v>
      </c>
      <c r="E40" s="42">
        <f>E38+E22+E16-E39</f>
        <v>272</v>
      </c>
      <c r="F40" s="17">
        <f t="shared" ref="F40:M40" si="5">F38+F22+F16-F39</f>
        <v>283</v>
      </c>
      <c r="G40" s="17">
        <f t="shared" si="5"/>
        <v>0</v>
      </c>
      <c r="H40" s="17">
        <f t="shared" si="5"/>
        <v>0</v>
      </c>
      <c r="I40" s="17">
        <f t="shared" si="5"/>
        <v>0</v>
      </c>
      <c r="J40" s="17">
        <f t="shared" si="5"/>
        <v>283</v>
      </c>
      <c r="K40" s="17">
        <f t="shared" si="5"/>
        <v>0</v>
      </c>
      <c r="L40" s="17">
        <f t="shared" si="5"/>
        <v>0</v>
      </c>
      <c r="M40" s="17">
        <f t="shared" si="5"/>
        <v>0</v>
      </c>
      <c r="N40" s="318" t="s">
        <v>650</v>
      </c>
    </row>
    <row r="43" spans="1:14" s="370" customFormat="1" ht="15" thickBot="1">
      <c r="A43" s="31"/>
      <c r="B43" s="31"/>
      <c r="C43" s="32"/>
      <c r="D43" s="31"/>
      <c r="E43" s="31"/>
      <c r="F43" s="31"/>
      <c r="G43" s="31"/>
      <c r="H43" s="31"/>
      <c r="I43" s="31"/>
      <c r="J43" s="31"/>
      <c r="K43" s="31"/>
      <c r="L43" s="31"/>
      <c r="M43" s="31"/>
      <c r="N43" s="536"/>
    </row>
    <row r="44" spans="1:14" s="370" customFormat="1" ht="15.5">
      <c r="A44" s="873" t="s">
        <v>257</v>
      </c>
      <c r="B44" s="874"/>
      <c r="C44" s="874"/>
      <c r="D44" s="874"/>
      <c r="E44" s="874"/>
      <c r="F44" s="874"/>
      <c r="G44" s="550"/>
      <c r="H44" s="31"/>
      <c r="I44" s="31"/>
      <c r="J44" s="31"/>
      <c r="K44" s="31"/>
      <c r="L44" s="31"/>
      <c r="M44" s="31"/>
      <c r="N44" s="536"/>
    </row>
    <row r="45" spans="1:14" s="370" customFormat="1" ht="15.5">
      <c r="A45" s="875"/>
      <c r="B45" s="876"/>
      <c r="C45" s="876"/>
      <c r="D45" s="876"/>
      <c r="E45" s="876"/>
      <c r="F45" s="876"/>
      <c r="G45" s="551"/>
      <c r="H45" s="31"/>
      <c r="I45" s="31"/>
      <c r="J45" s="31"/>
      <c r="K45" s="31"/>
      <c r="L45" s="31"/>
      <c r="M45" s="31"/>
      <c r="N45" s="536"/>
    </row>
    <row r="46" spans="1:14" s="370" customFormat="1">
      <c r="A46" s="877" t="s">
        <v>258</v>
      </c>
      <c r="B46" s="878"/>
      <c r="C46" s="552"/>
      <c r="D46" s="552"/>
      <c r="E46" s="552"/>
      <c r="F46" s="552"/>
      <c r="G46" s="551"/>
      <c r="H46" s="31"/>
      <c r="I46" s="31"/>
      <c r="J46" s="31"/>
      <c r="K46" s="31"/>
      <c r="L46" s="31"/>
      <c r="M46" s="31"/>
      <c r="N46" s="536"/>
    </row>
    <row r="47" spans="1:14" s="370" customFormat="1">
      <c r="A47" s="553" t="s">
        <v>1028</v>
      </c>
      <c r="B47" s="554">
        <f>E40</f>
        <v>272</v>
      </c>
      <c r="C47" s="555"/>
      <c r="D47" s="556"/>
      <c r="E47" s="556"/>
      <c r="F47" s="556"/>
      <c r="G47" s="551"/>
      <c r="H47" s="31"/>
      <c r="I47" s="31"/>
      <c r="J47" s="31"/>
      <c r="K47" s="31"/>
      <c r="L47" s="31"/>
      <c r="M47" s="31"/>
      <c r="N47" s="536"/>
    </row>
    <row r="48" spans="1:14" s="370" customFormat="1">
      <c r="A48" s="557" t="s">
        <v>1029</v>
      </c>
      <c r="B48" s="558">
        <f>F40</f>
        <v>283</v>
      </c>
      <c r="C48" s="555"/>
      <c r="D48" s="556"/>
      <c r="E48" s="556"/>
      <c r="F48" s="556"/>
      <c r="G48" s="551"/>
      <c r="H48" s="31"/>
      <c r="I48" s="31"/>
      <c r="J48" s="31"/>
      <c r="K48" s="31"/>
      <c r="L48" s="31"/>
      <c r="M48" s="31"/>
      <c r="N48" s="536"/>
    </row>
    <row r="49" spans="1:14" s="370" customFormat="1">
      <c r="A49" s="559" t="s">
        <v>259</v>
      </c>
      <c r="B49" s="560">
        <f>B48-B47</f>
        <v>11</v>
      </c>
      <c r="C49" s="555"/>
      <c r="D49" s="556"/>
      <c r="E49" s="556"/>
      <c r="F49" s="556"/>
      <c r="G49" s="551"/>
      <c r="H49" s="31"/>
      <c r="I49" s="31"/>
      <c r="J49" s="31"/>
      <c r="K49" s="31"/>
      <c r="L49" s="31"/>
      <c r="M49" s="31"/>
      <c r="N49" s="536"/>
    </row>
    <row r="50" spans="1:14" s="370" customFormat="1">
      <c r="A50" s="559" t="s">
        <v>260</v>
      </c>
      <c r="B50" s="561">
        <f>B49/B47</f>
        <v>4.0441176470588237E-2</v>
      </c>
      <c r="C50" s="555"/>
      <c r="D50" s="556"/>
      <c r="E50" s="556"/>
      <c r="F50" s="556"/>
      <c r="G50" s="551"/>
      <c r="H50" s="31"/>
      <c r="I50" s="31"/>
      <c r="J50" s="31"/>
      <c r="K50" s="31"/>
      <c r="L50" s="31"/>
      <c r="M50" s="31"/>
      <c r="N50" s="536"/>
    </row>
    <row r="51" spans="1:14" s="370" customFormat="1">
      <c r="A51" s="562"/>
      <c r="B51" s="556"/>
      <c r="C51" s="660"/>
      <c r="D51" s="556"/>
      <c r="E51" s="556"/>
      <c r="F51" s="556"/>
      <c r="G51" s="551"/>
      <c r="H51" s="31"/>
      <c r="I51" s="31"/>
      <c r="J51" s="31"/>
      <c r="K51" s="31"/>
      <c r="L51" s="31"/>
      <c r="M51" s="31"/>
      <c r="N51" s="536"/>
    </row>
    <row r="52" spans="1:14" s="370" customFormat="1">
      <c r="A52" s="879" t="s">
        <v>261</v>
      </c>
      <c r="B52" s="880"/>
      <c r="C52" s="880"/>
      <c r="D52" s="880"/>
      <c r="E52" s="880"/>
      <c r="F52" s="880"/>
      <c r="G52" s="551"/>
      <c r="H52" s="31"/>
      <c r="I52" s="31"/>
      <c r="J52" s="31"/>
      <c r="K52" s="31"/>
      <c r="L52" s="31"/>
      <c r="M52" s="31"/>
      <c r="N52" s="536"/>
    </row>
    <row r="53" spans="1:14" s="370" customFormat="1" ht="42" customHeight="1">
      <c r="A53" s="881" t="s">
        <v>651</v>
      </c>
      <c r="B53" s="882"/>
      <c r="C53" s="882"/>
      <c r="D53" s="882"/>
      <c r="E53" s="882"/>
      <c r="F53" s="883"/>
      <c r="G53" s="551"/>
      <c r="H53" s="31"/>
      <c r="I53" s="31"/>
      <c r="J53" s="31"/>
      <c r="K53" s="31"/>
      <c r="L53" s="31"/>
      <c r="M53" s="31"/>
      <c r="N53" s="536"/>
    </row>
    <row r="54" spans="1:14" s="370" customFormat="1">
      <c r="A54" s="563"/>
      <c r="B54" s="564"/>
      <c r="C54" s="564"/>
      <c r="D54" s="564"/>
      <c r="E54" s="564"/>
      <c r="F54" s="564"/>
      <c r="G54" s="551"/>
      <c r="H54" s="31"/>
      <c r="I54" s="31"/>
      <c r="J54" s="31"/>
      <c r="K54" s="31"/>
      <c r="L54" s="31"/>
      <c r="M54" s="31"/>
      <c r="N54" s="536"/>
    </row>
    <row r="55" spans="1:14" s="370" customFormat="1">
      <c r="A55" s="565" t="s">
        <v>262</v>
      </c>
      <c r="B55" s="556"/>
      <c r="C55" s="722"/>
      <c r="D55" s="556"/>
      <c r="E55" s="556"/>
      <c r="F55" s="556"/>
      <c r="G55" s="551"/>
      <c r="H55" s="31"/>
      <c r="I55" s="31"/>
      <c r="J55" s="31"/>
      <c r="K55" s="31"/>
      <c r="L55" s="31"/>
      <c r="M55" s="31"/>
      <c r="N55" s="536"/>
    </row>
    <row r="56" spans="1:14" s="370" customFormat="1" ht="123.5" customHeight="1">
      <c r="A56" s="881" t="s">
        <v>1087</v>
      </c>
      <c r="B56" s="882"/>
      <c r="C56" s="882"/>
      <c r="D56" s="882"/>
      <c r="E56" s="882"/>
      <c r="F56" s="883"/>
      <c r="G56" s="551"/>
      <c r="H56" s="31"/>
      <c r="I56" s="31"/>
      <c r="J56" s="31"/>
      <c r="K56" s="31"/>
      <c r="L56" s="31"/>
      <c r="M56" s="31"/>
      <c r="N56" s="536"/>
    </row>
    <row r="57" spans="1:14" s="370" customFormat="1">
      <c r="A57" s="562"/>
      <c r="B57" s="556"/>
      <c r="C57" s="722"/>
      <c r="D57" s="556"/>
      <c r="E57" s="556"/>
      <c r="F57" s="556"/>
      <c r="G57" s="551"/>
      <c r="H57" s="31"/>
      <c r="I57" s="31"/>
      <c r="J57" s="31"/>
      <c r="K57" s="31"/>
      <c r="L57" s="31"/>
      <c r="M57" s="31"/>
      <c r="N57" s="536"/>
    </row>
    <row r="58" spans="1:14" s="370" customFormat="1">
      <c r="A58" s="879" t="s">
        <v>1020</v>
      </c>
      <c r="B58" s="880"/>
      <c r="C58" s="880"/>
      <c r="D58" s="880"/>
      <c r="E58" s="880"/>
      <c r="F58" s="880"/>
      <c r="G58" s="551"/>
      <c r="H58" s="31"/>
      <c r="I58" s="31"/>
      <c r="J58" s="31"/>
      <c r="K58" s="31"/>
      <c r="L58" s="31"/>
      <c r="M58" s="31"/>
      <c r="N58" s="536"/>
    </row>
    <row r="59" spans="1:14" s="370" customFormat="1">
      <c r="A59" s="898" t="s">
        <v>1021</v>
      </c>
      <c r="B59" s="899"/>
      <c r="C59" s="899"/>
      <c r="D59" s="899"/>
      <c r="E59" s="899"/>
      <c r="F59" s="899"/>
      <c r="G59" s="551"/>
      <c r="H59" s="31"/>
      <c r="I59" s="31"/>
      <c r="J59" s="31"/>
      <c r="K59" s="31"/>
      <c r="L59" s="31"/>
      <c r="M59" s="31"/>
      <c r="N59" s="536"/>
    </row>
    <row r="60" spans="1:14" s="370" customFormat="1" ht="111.5" customHeight="1">
      <c r="A60" s="881" t="s">
        <v>1088</v>
      </c>
      <c r="B60" s="885"/>
      <c r="C60" s="885"/>
      <c r="D60" s="885"/>
      <c r="E60" s="885"/>
      <c r="F60" s="886"/>
      <c r="G60" s="551"/>
      <c r="H60" s="31"/>
      <c r="I60" s="31"/>
      <c r="J60" s="31"/>
      <c r="K60" s="31"/>
      <c r="L60" s="31"/>
      <c r="M60" s="31"/>
      <c r="N60" s="536"/>
    </row>
    <row r="61" spans="1:14" s="370" customFormat="1">
      <c r="A61" s="565"/>
      <c r="B61" s="556"/>
      <c r="C61" s="722"/>
      <c r="D61" s="556"/>
      <c r="E61" s="556"/>
      <c r="F61" s="556"/>
      <c r="G61" s="551"/>
      <c r="H61" s="31"/>
      <c r="I61" s="31"/>
      <c r="J61" s="31"/>
      <c r="K61" s="31"/>
      <c r="L61" s="31"/>
      <c r="M61" s="31"/>
      <c r="N61" s="536"/>
    </row>
    <row r="62" spans="1:14" s="370" customFormat="1">
      <c r="A62" s="879" t="s">
        <v>264</v>
      </c>
      <c r="B62" s="880"/>
      <c r="C62" s="880"/>
      <c r="D62" s="880"/>
      <c r="E62" s="880"/>
      <c r="F62" s="556"/>
      <c r="G62" s="551"/>
      <c r="H62" s="31"/>
      <c r="I62" s="31"/>
      <c r="J62" s="31"/>
      <c r="K62" s="31"/>
      <c r="L62" s="31"/>
      <c r="M62" s="31"/>
      <c r="N62" s="536"/>
    </row>
    <row r="63" spans="1:14" s="370" customFormat="1" ht="54" customHeight="1">
      <c r="A63" s="881" t="s">
        <v>1089</v>
      </c>
      <c r="B63" s="882"/>
      <c r="C63" s="882"/>
      <c r="D63" s="882"/>
      <c r="E63" s="882"/>
      <c r="F63" s="883"/>
      <c r="G63" s="551"/>
      <c r="H63" s="31"/>
      <c r="I63" s="31"/>
      <c r="J63" s="31"/>
      <c r="K63" s="31"/>
      <c r="L63" s="31"/>
      <c r="M63" s="31"/>
      <c r="N63" s="536"/>
    </row>
    <row r="64" spans="1:14" s="370" customFormat="1">
      <c r="A64" s="562"/>
      <c r="B64" s="556"/>
      <c r="C64" s="722"/>
      <c r="D64" s="556"/>
      <c r="E64" s="556"/>
      <c r="F64" s="556"/>
      <c r="G64" s="551"/>
      <c r="H64" s="31"/>
      <c r="I64" s="31"/>
      <c r="J64" s="31"/>
      <c r="K64" s="31"/>
      <c r="L64" s="31"/>
      <c r="M64" s="31"/>
      <c r="N64" s="536"/>
    </row>
    <row r="65" spans="1:14" s="370" customFormat="1">
      <c r="A65" s="565" t="s">
        <v>265</v>
      </c>
      <c r="B65" s="556"/>
      <c r="C65" s="722"/>
      <c r="D65" s="556"/>
      <c r="E65" s="556"/>
      <c r="F65" s="556"/>
      <c r="G65" s="551"/>
      <c r="H65" s="31"/>
      <c r="I65" s="31"/>
      <c r="J65" s="31"/>
      <c r="K65" s="31"/>
      <c r="L65" s="31"/>
      <c r="M65" s="31"/>
      <c r="N65" s="536"/>
    </row>
    <row r="66" spans="1:14" s="370" customFormat="1">
      <c r="A66" s="566" t="s">
        <v>266</v>
      </c>
      <c r="B66" s="556"/>
      <c r="C66" s="722"/>
      <c r="D66" s="556"/>
      <c r="E66" s="556"/>
      <c r="F66" s="556"/>
      <c r="G66" s="551"/>
      <c r="H66" s="31"/>
      <c r="I66" s="31"/>
      <c r="J66" s="31"/>
      <c r="K66" s="31"/>
      <c r="L66" s="31"/>
      <c r="M66" s="31"/>
      <c r="N66" s="536"/>
    </row>
    <row r="67" spans="1:14" s="370" customFormat="1" ht="26.25" customHeight="1">
      <c r="A67" s="892" t="s">
        <v>1030</v>
      </c>
      <c r="B67" s="893"/>
      <c r="C67" s="893"/>
      <c r="D67" s="893"/>
      <c r="E67" s="893"/>
      <c r="F67" s="893"/>
      <c r="G67" s="551"/>
      <c r="H67" s="31"/>
      <c r="I67" s="31"/>
      <c r="J67" s="31"/>
      <c r="K67" s="31"/>
      <c r="L67" s="31"/>
      <c r="M67" s="31"/>
      <c r="N67" s="536"/>
    </row>
    <row r="68" spans="1:14" s="370" customFormat="1" ht="88.5" customHeight="1">
      <c r="A68" s="881" t="s">
        <v>1090</v>
      </c>
      <c r="B68" s="882"/>
      <c r="C68" s="882"/>
      <c r="D68" s="882"/>
      <c r="E68" s="882"/>
      <c r="F68" s="883"/>
      <c r="G68" s="551"/>
      <c r="H68" s="31"/>
      <c r="I68" s="31"/>
      <c r="J68" s="31"/>
      <c r="K68" s="31"/>
      <c r="L68" s="31"/>
      <c r="M68" s="31"/>
      <c r="N68" s="536"/>
    </row>
    <row r="69" spans="1:14" s="370" customFormat="1">
      <c r="A69" s="894"/>
      <c r="B69" s="895"/>
      <c r="C69" s="895"/>
      <c r="D69" s="895"/>
      <c r="E69" s="895"/>
      <c r="F69" s="895"/>
      <c r="G69" s="551"/>
      <c r="H69" s="31"/>
      <c r="I69" s="31"/>
      <c r="J69" s="31"/>
      <c r="K69" s="31"/>
      <c r="L69" s="31"/>
      <c r="M69" s="31"/>
      <c r="N69" s="536"/>
    </row>
    <row r="70" spans="1:14" s="370" customFormat="1">
      <c r="A70" s="566" t="s">
        <v>268</v>
      </c>
      <c r="B70" s="556"/>
      <c r="C70" s="722"/>
      <c r="D70" s="556"/>
      <c r="E70" s="556"/>
      <c r="F70" s="556"/>
      <c r="G70" s="551"/>
      <c r="H70" s="31"/>
      <c r="I70" s="31"/>
      <c r="J70" s="31"/>
      <c r="K70" s="31"/>
      <c r="L70" s="31"/>
      <c r="M70" s="31"/>
      <c r="N70" s="536"/>
    </row>
    <row r="71" spans="1:14" s="370" customFormat="1" ht="42" customHeight="1">
      <c r="A71" s="896" t="s">
        <v>269</v>
      </c>
      <c r="B71" s="897"/>
      <c r="C71" s="897"/>
      <c r="D71" s="897"/>
      <c r="E71" s="897"/>
      <c r="F71" s="897"/>
      <c r="G71" s="551"/>
      <c r="H71" s="31"/>
      <c r="I71" s="31"/>
      <c r="J71" s="31"/>
      <c r="K71" s="31"/>
      <c r="L71" s="31"/>
      <c r="M71" s="31"/>
      <c r="N71" s="536"/>
    </row>
    <row r="72" spans="1:14" s="370" customFormat="1">
      <c r="A72" s="881"/>
      <c r="B72" s="882"/>
      <c r="C72" s="882"/>
      <c r="D72" s="882"/>
      <c r="E72" s="882"/>
      <c r="F72" s="883"/>
      <c r="G72" s="551"/>
      <c r="H72" s="31"/>
      <c r="I72" s="31"/>
      <c r="J72" s="31"/>
      <c r="K72" s="31"/>
      <c r="L72" s="31"/>
      <c r="M72" s="31"/>
      <c r="N72" s="536"/>
    </row>
    <row r="73" spans="1:14" s="370" customFormat="1" ht="15" thickBot="1">
      <c r="A73" s="567"/>
      <c r="B73" s="568"/>
      <c r="C73" s="569"/>
      <c r="D73" s="568"/>
      <c r="E73" s="568"/>
      <c r="F73" s="568"/>
      <c r="G73" s="570"/>
      <c r="H73" s="31"/>
      <c r="I73" s="31"/>
      <c r="J73" s="31"/>
      <c r="K73" s="31"/>
      <c r="L73" s="31"/>
      <c r="M73" s="31"/>
      <c r="N73" s="536"/>
    </row>
    <row r="74" spans="1:14" s="370" customFormat="1">
      <c r="A74" s="31"/>
      <c r="B74" s="31"/>
      <c r="C74" s="32"/>
      <c r="D74" s="31"/>
      <c r="E74" s="31"/>
      <c r="F74" s="31"/>
      <c r="G74" s="31"/>
      <c r="H74" s="31"/>
      <c r="I74" s="31"/>
      <c r="J74" s="31"/>
      <c r="K74" s="31"/>
      <c r="L74" s="31"/>
      <c r="M74" s="31"/>
      <c r="N74" s="536"/>
    </row>
    <row r="75" spans="1:14" s="370" customFormat="1">
      <c r="A75" s="31"/>
      <c r="B75" s="31"/>
      <c r="C75" s="32"/>
      <c r="D75" s="31"/>
      <c r="E75" s="31"/>
      <c r="F75" s="31"/>
      <c r="G75" s="31"/>
      <c r="H75" s="31"/>
      <c r="I75" s="31"/>
      <c r="J75" s="31"/>
      <c r="K75" s="31"/>
      <c r="L75" s="31"/>
      <c r="M75" s="31"/>
      <c r="N75" s="536"/>
    </row>
    <row r="76" spans="1:14" s="370" customFormat="1">
      <c r="A76" s="31"/>
      <c r="B76" s="31"/>
      <c r="C76" s="32"/>
      <c r="D76" s="31"/>
      <c r="E76" s="31"/>
      <c r="F76" s="31"/>
      <c r="G76" s="31"/>
      <c r="H76" s="31"/>
      <c r="I76" s="31"/>
      <c r="J76" s="31"/>
      <c r="K76" s="31"/>
      <c r="L76" s="31"/>
      <c r="M76" s="31"/>
      <c r="N76" s="536"/>
    </row>
    <row r="77" spans="1:14" s="370" customFormat="1">
      <c r="A77" s="31"/>
      <c r="B77" s="31"/>
      <c r="C77" s="32"/>
      <c r="D77" s="31"/>
      <c r="E77" s="31"/>
      <c r="F77" s="31"/>
      <c r="G77" s="31"/>
      <c r="H77" s="31"/>
      <c r="I77" s="31"/>
      <c r="J77" s="31"/>
      <c r="K77" s="31"/>
      <c r="L77" s="31"/>
      <c r="M77" s="31"/>
      <c r="N77" s="536"/>
    </row>
    <row r="78" spans="1:14" s="370" customFormat="1">
      <c r="A78" s="31"/>
      <c r="B78" s="31"/>
      <c r="C78" s="32"/>
      <c r="D78" s="31"/>
      <c r="E78" s="31"/>
      <c r="F78" s="31"/>
      <c r="G78" s="31"/>
      <c r="H78" s="31"/>
      <c r="I78" s="31"/>
      <c r="J78" s="31"/>
      <c r="K78" s="31"/>
      <c r="L78" s="31"/>
      <c r="M78" s="31"/>
      <c r="N78" s="536"/>
    </row>
    <row r="79" spans="1:14" s="370" customFormat="1">
      <c r="A79" s="31"/>
      <c r="B79" s="31"/>
      <c r="C79" s="32"/>
      <c r="D79" s="31"/>
      <c r="E79" s="31"/>
      <c r="F79" s="31"/>
      <c r="G79" s="31"/>
      <c r="H79" s="31"/>
      <c r="I79" s="31"/>
      <c r="J79" s="31"/>
      <c r="K79" s="31"/>
      <c r="L79" s="31"/>
      <c r="M79" s="31"/>
      <c r="N79" s="536"/>
    </row>
    <row r="80" spans="1:14" s="370" customFormat="1">
      <c r="A80" s="31"/>
      <c r="B80" s="31"/>
      <c r="C80" s="32"/>
      <c r="D80" s="31"/>
      <c r="E80" s="31"/>
      <c r="F80" s="31"/>
      <c r="G80" s="31"/>
      <c r="H80" s="31"/>
      <c r="I80" s="31"/>
      <c r="J80" s="31"/>
      <c r="K80" s="31"/>
      <c r="L80" s="31"/>
      <c r="M80" s="31"/>
      <c r="N80" s="536"/>
    </row>
    <row r="81" spans="1:14" s="370" customFormat="1">
      <c r="A81" s="31"/>
      <c r="B81" s="31"/>
      <c r="C81" s="32"/>
      <c r="D81" s="31"/>
      <c r="E81" s="31"/>
      <c r="F81" s="31"/>
      <c r="G81" s="31"/>
      <c r="H81" s="31"/>
      <c r="I81" s="31"/>
      <c r="J81" s="31"/>
      <c r="K81" s="31"/>
      <c r="L81" s="31"/>
      <c r="M81" s="31"/>
      <c r="N81" s="536"/>
    </row>
    <row r="82" spans="1:14" s="370" customFormat="1">
      <c r="A82" s="31"/>
      <c r="B82" s="31"/>
      <c r="C82" s="32"/>
      <c r="D82" s="31"/>
      <c r="E82" s="31"/>
      <c r="F82" s="31"/>
      <c r="G82" s="31"/>
      <c r="H82" s="31"/>
      <c r="I82" s="31"/>
      <c r="J82" s="31"/>
      <c r="K82" s="31"/>
      <c r="L82" s="31"/>
      <c r="M82" s="31"/>
      <c r="N82" s="536"/>
    </row>
    <row r="83" spans="1:14" s="370" customFormat="1">
      <c r="A83" s="31"/>
      <c r="B83" s="31"/>
      <c r="C83" s="32"/>
      <c r="D83" s="31"/>
      <c r="E83" s="31"/>
      <c r="F83" s="31"/>
      <c r="G83" s="31"/>
      <c r="H83" s="31"/>
      <c r="I83" s="31"/>
      <c r="J83" s="31"/>
      <c r="K83" s="31"/>
      <c r="L83" s="31"/>
      <c r="M83" s="31"/>
      <c r="N83" s="536"/>
    </row>
    <row r="84" spans="1:14" s="370" customFormat="1">
      <c r="A84" s="31"/>
      <c r="B84" s="31"/>
      <c r="C84" s="32"/>
      <c r="D84" s="31"/>
      <c r="E84" s="31"/>
      <c r="F84" s="31"/>
      <c r="G84" s="31"/>
      <c r="H84" s="31"/>
      <c r="I84" s="31"/>
      <c r="J84" s="31"/>
      <c r="K84" s="31"/>
      <c r="L84" s="31"/>
      <c r="M84" s="31"/>
      <c r="N84" s="536"/>
    </row>
    <row r="85" spans="1:14" s="370" customFormat="1">
      <c r="A85" s="31"/>
      <c r="B85" s="31"/>
      <c r="C85" s="32"/>
      <c r="D85" s="31"/>
      <c r="E85" s="31"/>
      <c r="F85" s="31"/>
      <c r="G85" s="31"/>
      <c r="H85" s="31"/>
      <c r="I85" s="31"/>
      <c r="J85" s="31"/>
      <c r="K85" s="31"/>
      <c r="L85" s="31"/>
      <c r="M85" s="31"/>
      <c r="N85" s="536"/>
    </row>
    <row r="86" spans="1:14" s="370" customFormat="1">
      <c r="A86" s="31"/>
      <c r="B86" s="31"/>
      <c r="C86" s="32"/>
      <c r="D86" s="31"/>
      <c r="E86" s="31"/>
      <c r="F86" s="31"/>
      <c r="G86" s="31"/>
      <c r="H86" s="31"/>
      <c r="I86" s="31"/>
      <c r="J86" s="31"/>
      <c r="K86" s="31"/>
      <c r="L86" s="31"/>
      <c r="M86" s="31"/>
      <c r="N86" s="536"/>
    </row>
    <row r="87" spans="1:14" s="370" customFormat="1">
      <c r="A87" s="31"/>
      <c r="B87" s="31"/>
      <c r="C87" s="32"/>
      <c r="D87" s="31"/>
      <c r="E87" s="31"/>
      <c r="F87" s="31"/>
      <c r="G87" s="31"/>
      <c r="H87" s="31"/>
      <c r="I87" s="31"/>
      <c r="J87" s="31"/>
      <c r="K87" s="31"/>
      <c r="L87" s="31"/>
      <c r="M87" s="31"/>
      <c r="N87" s="536"/>
    </row>
    <row r="88" spans="1:14" s="370" customFormat="1">
      <c r="A88" s="31"/>
      <c r="B88" s="31"/>
      <c r="C88" s="32"/>
      <c r="D88" s="31"/>
      <c r="E88" s="31"/>
      <c r="F88" s="31"/>
      <c r="G88" s="31"/>
      <c r="H88" s="31"/>
      <c r="I88" s="31"/>
      <c r="J88" s="31"/>
      <c r="K88" s="31"/>
      <c r="L88" s="31"/>
      <c r="M88" s="31"/>
      <c r="N88" s="536"/>
    </row>
    <row r="89" spans="1:14" s="370" customFormat="1">
      <c r="A89" s="31"/>
      <c r="B89" s="31"/>
      <c r="C89" s="32"/>
      <c r="D89" s="31"/>
      <c r="E89" s="31"/>
      <c r="F89" s="31"/>
      <c r="G89" s="31"/>
      <c r="H89" s="31"/>
      <c r="I89" s="31"/>
      <c r="J89" s="31"/>
      <c r="K89" s="31"/>
      <c r="L89" s="31"/>
      <c r="M89" s="31"/>
      <c r="N89" s="536"/>
    </row>
    <row r="90" spans="1:14" s="370" customFormat="1">
      <c r="A90" s="31"/>
      <c r="B90" s="31"/>
      <c r="C90" s="32"/>
      <c r="D90" s="31"/>
      <c r="E90" s="31"/>
      <c r="F90" s="31"/>
      <c r="G90" s="31"/>
      <c r="H90" s="31"/>
      <c r="I90" s="31"/>
      <c r="J90" s="31"/>
      <c r="K90" s="31"/>
      <c r="L90" s="31"/>
      <c r="M90" s="31"/>
      <c r="N90" s="536"/>
    </row>
  </sheetData>
  <mergeCells count="17">
    <mergeCell ref="A71:F71"/>
    <mergeCell ref="A72:F72"/>
    <mergeCell ref="A62:E62"/>
    <mergeCell ref="A63:F63"/>
    <mergeCell ref="A67:F67"/>
    <mergeCell ref="A68:F68"/>
    <mergeCell ref="A69:F69"/>
    <mergeCell ref="A53:F53"/>
    <mergeCell ref="A56:F56"/>
    <mergeCell ref="A58:F58"/>
    <mergeCell ref="A59:F59"/>
    <mergeCell ref="A60:F60"/>
    <mergeCell ref="A1:N1"/>
    <mergeCell ref="A44:F44"/>
    <mergeCell ref="A45:F45"/>
    <mergeCell ref="A46:B46"/>
    <mergeCell ref="A52:F52"/>
  </mergeCells>
  <printOptions horizontalCentered="1"/>
  <pageMargins left="0.2" right="0.2" top="0.75" bottom="0.75" header="0.3" footer="0.3"/>
  <pageSetup scale="65" orientation="landscape" r:id="rId1"/>
  <headerFooter>
    <oddHeader xml:space="preserve">&amp;CDRAFT NOT FOR DISTRIBUTION, INTERNAL USE ONLY
</oddHead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2" tint="-0.249977111117893"/>
    <pageSetUpPr fitToPage="1"/>
  </sheetPr>
  <dimension ref="A1:N102"/>
  <sheetViews>
    <sheetView zoomScaleNormal="100" workbookViewId="0">
      <selection sqref="A1:N1"/>
    </sheetView>
  </sheetViews>
  <sheetFormatPr defaultRowHeight="14.5"/>
  <cols>
    <col min="1" max="1" width="47.453125" customWidth="1"/>
    <col min="2" max="2" width="14.26953125" customWidth="1"/>
    <col min="3" max="3" width="7.7265625" style="30" customWidth="1"/>
    <col min="4" max="4" width="7.81640625" customWidth="1"/>
    <col min="5" max="5" width="8.54296875" customWidth="1"/>
    <col min="6" max="6" width="9.1796875" customWidth="1"/>
    <col min="7" max="7" width="8.54296875" customWidth="1"/>
    <col min="8" max="8" width="6.54296875" customWidth="1"/>
    <col min="9" max="9" width="5.7265625" customWidth="1"/>
    <col min="10" max="10" width="6.1796875" customWidth="1"/>
    <col min="11" max="11" width="7.7265625" customWidth="1"/>
    <col min="12" max="12" width="7.81640625" customWidth="1"/>
    <col min="13" max="13" width="9.1796875" customWidth="1"/>
    <col min="14" max="14" width="51.453125" customWidth="1"/>
  </cols>
  <sheetData>
    <row r="1" spans="1:14" ht="15.5">
      <c r="A1" s="854" t="s">
        <v>346</v>
      </c>
      <c r="B1" s="854"/>
      <c r="C1" s="854"/>
      <c r="D1" s="854"/>
      <c r="E1" s="854"/>
      <c r="F1" s="854"/>
      <c r="G1" s="854"/>
      <c r="H1" s="854"/>
      <c r="I1" s="854"/>
      <c r="J1" s="854"/>
      <c r="K1" s="854"/>
      <c r="L1" s="854"/>
      <c r="M1" s="854"/>
      <c r="N1" s="854"/>
    </row>
    <row r="2" spans="1:14">
      <c r="A2" s="702" t="s">
        <v>928</v>
      </c>
      <c r="B2" s="370"/>
      <c r="C2" s="639"/>
      <c r="D2" s="370"/>
      <c r="E2" s="370"/>
      <c r="F2" s="370"/>
      <c r="G2" s="370"/>
      <c r="H2" s="370"/>
      <c r="I2" s="370"/>
      <c r="J2" s="370"/>
      <c r="K2" s="370"/>
      <c r="L2" s="370"/>
      <c r="M2" s="370"/>
      <c r="N2" s="370"/>
    </row>
    <row r="3" spans="1:14" ht="26">
      <c r="A3" s="506" t="s">
        <v>652</v>
      </c>
      <c r="B3" s="370"/>
      <c r="C3" s="639"/>
      <c r="D3" s="370"/>
      <c r="E3" s="370"/>
      <c r="F3" s="29"/>
      <c r="G3" s="451" t="s">
        <v>210</v>
      </c>
      <c r="H3" s="370"/>
      <c r="I3" s="370"/>
      <c r="J3" s="370"/>
      <c r="K3" s="370"/>
      <c r="L3" s="370"/>
      <c r="M3" s="370"/>
      <c r="N3" s="370"/>
    </row>
    <row r="4" spans="1:14" ht="26">
      <c r="A4" s="506" t="s">
        <v>800</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s="370" customFormat="1" ht="29">
      <c r="A7" s="36" t="s">
        <v>653</v>
      </c>
      <c r="B7" s="36" t="s">
        <v>582</v>
      </c>
      <c r="C7" s="37" t="s">
        <v>218</v>
      </c>
      <c r="D7" s="38">
        <v>0.34</v>
      </c>
      <c r="E7" s="258">
        <v>66</v>
      </c>
      <c r="F7" s="303">
        <f t="shared" ref="F7:F15" si="0">SUM(G7:M7)</f>
        <v>67</v>
      </c>
      <c r="G7" s="304">
        <v>0</v>
      </c>
      <c r="H7" s="304">
        <v>0</v>
      </c>
      <c r="I7" s="304">
        <v>0</v>
      </c>
      <c r="J7" s="304">
        <v>0</v>
      </c>
      <c r="K7" s="304">
        <v>67</v>
      </c>
      <c r="L7" s="304">
        <v>0</v>
      </c>
      <c r="M7" s="305">
        <v>0</v>
      </c>
      <c r="N7" s="318" t="s">
        <v>1290</v>
      </c>
    </row>
    <row r="8" spans="1:14" s="370" customFormat="1" ht="43.5">
      <c r="A8" s="371" t="s">
        <v>654</v>
      </c>
      <c r="C8" s="37" t="s">
        <v>218</v>
      </c>
      <c r="D8" s="39">
        <v>0.5</v>
      </c>
      <c r="E8" s="258">
        <v>90</v>
      </c>
      <c r="F8" s="303">
        <f t="shared" si="0"/>
        <v>90</v>
      </c>
      <c r="G8" s="304">
        <v>0</v>
      </c>
      <c r="H8" s="304">
        <v>0</v>
      </c>
      <c r="I8" s="304">
        <v>0</v>
      </c>
      <c r="J8" s="304">
        <v>0</v>
      </c>
      <c r="K8" s="304">
        <v>0</v>
      </c>
      <c r="L8" s="304">
        <v>90</v>
      </c>
      <c r="M8" s="305">
        <v>0</v>
      </c>
      <c r="N8" s="318" t="s">
        <v>1091</v>
      </c>
    </row>
    <row r="9" spans="1:14" s="370" customFormat="1" ht="43.5">
      <c r="A9" s="167" t="s">
        <v>382</v>
      </c>
      <c r="B9" s="530"/>
      <c r="C9" s="607" t="s">
        <v>218</v>
      </c>
      <c r="D9" s="39"/>
      <c r="E9" s="258">
        <v>25</v>
      </c>
      <c r="F9" s="303">
        <f t="shared" si="0"/>
        <v>25</v>
      </c>
      <c r="G9" s="304">
        <v>0</v>
      </c>
      <c r="H9" s="304">
        <v>0</v>
      </c>
      <c r="I9" s="304">
        <v>0</v>
      </c>
      <c r="J9" s="304">
        <v>0</v>
      </c>
      <c r="K9" s="304">
        <v>0</v>
      </c>
      <c r="L9" s="304">
        <v>25</v>
      </c>
      <c r="M9" s="305">
        <v>0</v>
      </c>
      <c r="N9" s="364" t="s">
        <v>1092</v>
      </c>
    </row>
    <row r="10" spans="1:14" s="370" customFormat="1">
      <c r="A10" s="36" t="s">
        <v>217</v>
      </c>
      <c r="B10" s="259"/>
      <c r="C10" s="37" t="s">
        <v>218</v>
      </c>
      <c r="D10" s="39"/>
      <c r="E10" s="258">
        <v>0</v>
      </c>
      <c r="F10" s="303">
        <f t="shared" si="0"/>
        <v>0</v>
      </c>
      <c r="G10" s="304">
        <v>0</v>
      </c>
      <c r="H10" s="304">
        <v>0</v>
      </c>
      <c r="I10" s="304">
        <v>0</v>
      </c>
      <c r="J10" s="304">
        <v>0</v>
      </c>
      <c r="K10" s="304">
        <v>0</v>
      </c>
      <c r="L10" s="304">
        <v>0</v>
      </c>
      <c r="M10" s="305">
        <v>0</v>
      </c>
      <c r="N10" s="348"/>
    </row>
    <row r="11" spans="1:14" s="370" customFormat="1">
      <c r="A11" s="36" t="s">
        <v>217</v>
      </c>
      <c r="B11" s="36"/>
      <c r="C11" s="37" t="s">
        <v>218</v>
      </c>
      <c r="D11" s="39"/>
      <c r="E11" s="258">
        <v>0</v>
      </c>
      <c r="F11" s="303">
        <f t="shared" si="0"/>
        <v>0</v>
      </c>
      <c r="G11" s="304">
        <v>0</v>
      </c>
      <c r="H11" s="304">
        <v>0</v>
      </c>
      <c r="I11" s="304">
        <v>0</v>
      </c>
      <c r="J11" s="304">
        <v>0</v>
      </c>
      <c r="K11" s="304">
        <v>0</v>
      </c>
      <c r="L11" s="304">
        <v>0</v>
      </c>
      <c r="M11" s="305">
        <v>0</v>
      </c>
      <c r="N11" s="348"/>
    </row>
    <row r="12" spans="1:14" s="370" customFormat="1">
      <c r="A12" s="36" t="s">
        <v>217</v>
      </c>
      <c r="B12" s="259"/>
      <c r="C12" s="37" t="s">
        <v>218</v>
      </c>
      <c r="D12" s="39"/>
      <c r="E12" s="258">
        <v>0</v>
      </c>
      <c r="F12" s="303">
        <f t="shared" si="0"/>
        <v>0</v>
      </c>
      <c r="G12" s="304">
        <v>0</v>
      </c>
      <c r="H12" s="304">
        <v>0</v>
      </c>
      <c r="I12" s="304">
        <v>0</v>
      </c>
      <c r="J12" s="304">
        <v>0</v>
      </c>
      <c r="K12" s="304">
        <v>0</v>
      </c>
      <c r="L12" s="304">
        <v>0</v>
      </c>
      <c r="M12" s="305">
        <v>0</v>
      </c>
      <c r="N12" s="348"/>
    </row>
    <row r="13" spans="1:14" s="370" customFormat="1">
      <c r="A13" s="36" t="s">
        <v>217</v>
      </c>
      <c r="B13" s="259"/>
      <c r="C13" s="37" t="s">
        <v>218</v>
      </c>
      <c r="D13" s="39"/>
      <c r="E13" s="258">
        <v>0</v>
      </c>
      <c r="F13" s="303">
        <f t="shared" si="0"/>
        <v>0</v>
      </c>
      <c r="G13" s="304">
        <v>0</v>
      </c>
      <c r="H13" s="304">
        <v>0</v>
      </c>
      <c r="I13" s="304">
        <v>0</v>
      </c>
      <c r="J13" s="304">
        <v>0</v>
      </c>
      <c r="K13" s="304">
        <v>0</v>
      </c>
      <c r="L13" s="304">
        <v>0</v>
      </c>
      <c r="M13" s="305">
        <v>0</v>
      </c>
      <c r="N13" s="348"/>
    </row>
    <row r="14" spans="1:14" s="370" customFormat="1">
      <c r="A14" s="36" t="s">
        <v>217</v>
      </c>
      <c r="B14" s="259"/>
      <c r="C14" s="37" t="s">
        <v>218</v>
      </c>
      <c r="D14" s="39"/>
      <c r="E14" s="258">
        <v>0</v>
      </c>
      <c r="F14" s="303">
        <f t="shared" si="0"/>
        <v>0</v>
      </c>
      <c r="G14" s="304">
        <v>0</v>
      </c>
      <c r="H14" s="304">
        <v>0</v>
      </c>
      <c r="I14" s="304">
        <v>0</v>
      </c>
      <c r="J14" s="304">
        <v>0</v>
      </c>
      <c r="K14" s="304">
        <v>0</v>
      </c>
      <c r="L14" s="304">
        <v>0</v>
      </c>
      <c r="M14" s="305">
        <v>0</v>
      </c>
      <c r="N14" s="348"/>
    </row>
    <row r="15" spans="1:14" s="370" customFormat="1">
      <c r="A15" s="36" t="s">
        <v>217</v>
      </c>
      <c r="B15" s="260"/>
      <c r="C15" s="37" t="s">
        <v>218</v>
      </c>
      <c r="D15" s="39"/>
      <c r="E15" s="258">
        <v>0</v>
      </c>
      <c r="F15" s="303">
        <f t="shared" si="0"/>
        <v>0</v>
      </c>
      <c r="G15" s="304">
        <v>0</v>
      </c>
      <c r="H15" s="304">
        <v>0</v>
      </c>
      <c r="I15" s="304">
        <v>0</v>
      </c>
      <c r="J15" s="304">
        <v>0</v>
      </c>
      <c r="K15" s="304">
        <v>0</v>
      </c>
      <c r="L15" s="304">
        <v>0</v>
      </c>
      <c r="M15" s="305">
        <v>0</v>
      </c>
      <c r="N15" s="348"/>
    </row>
    <row r="16" spans="1:14" s="370" customFormat="1">
      <c r="A16" s="40" t="s">
        <v>219</v>
      </c>
      <c r="B16" s="260"/>
      <c r="C16" s="261"/>
      <c r="D16" s="41">
        <f t="shared" ref="D16:M16" si="1">SUM(D7:D15)</f>
        <v>0.84000000000000008</v>
      </c>
      <c r="E16" s="42">
        <f t="shared" si="1"/>
        <v>181</v>
      </c>
      <c r="F16" s="43">
        <f t="shared" si="1"/>
        <v>182</v>
      </c>
      <c r="G16" s="43">
        <f t="shared" si="1"/>
        <v>0</v>
      </c>
      <c r="H16" s="43">
        <f t="shared" si="1"/>
        <v>0</v>
      </c>
      <c r="I16" s="43">
        <f t="shared" si="1"/>
        <v>0</v>
      </c>
      <c r="J16" s="43">
        <f t="shared" si="1"/>
        <v>0</v>
      </c>
      <c r="K16" s="43">
        <f t="shared" si="1"/>
        <v>67</v>
      </c>
      <c r="L16" s="43">
        <f t="shared" si="1"/>
        <v>115</v>
      </c>
      <c r="M16" s="43">
        <f t="shared" si="1"/>
        <v>0</v>
      </c>
      <c r="N16" s="249"/>
    </row>
    <row r="17" spans="1:14" s="370" customFormat="1">
      <c r="A17" s="125" t="s">
        <v>220</v>
      </c>
      <c r="B17" s="126"/>
      <c r="C17" s="127"/>
      <c r="D17" s="126"/>
      <c r="E17" s="126"/>
      <c r="F17" s="87"/>
      <c r="G17" s="87"/>
      <c r="H17" s="87"/>
      <c r="I17" s="87"/>
      <c r="J17" s="87"/>
      <c r="K17" s="87"/>
      <c r="L17" s="87"/>
      <c r="M17" s="87"/>
      <c r="N17" s="87"/>
    </row>
    <row r="18" spans="1:14" s="370" customFormat="1">
      <c r="A18" s="259" t="s">
        <v>296</v>
      </c>
      <c r="B18" s="259"/>
      <c r="C18" s="44">
        <v>253</v>
      </c>
      <c r="D18" s="45"/>
      <c r="E18" s="258">
        <v>0</v>
      </c>
      <c r="F18" s="350">
        <f>SUM(G18:M18)</f>
        <v>0</v>
      </c>
      <c r="G18" s="304">
        <v>0</v>
      </c>
      <c r="H18" s="304">
        <v>0</v>
      </c>
      <c r="I18" s="304">
        <v>0</v>
      </c>
      <c r="J18" s="304">
        <v>0</v>
      </c>
      <c r="K18" s="304">
        <v>0</v>
      </c>
      <c r="L18" s="304">
        <v>0</v>
      </c>
      <c r="M18" s="305">
        <v>0</v>
      </c>
      <c r="N18" s="320"/>
    </row>
    <row r="19" spans="1:14" s="370" customFormat="1" ht="101.5">
      <c r="A19" s="406" t="s">
        <v>891</v>
      </c>
      <c r="B19" s="371" t="s">
        <v>1293</v>
      </c>
      <c r="C19" s="44">
        <v>253</v>
      </c>
      <c r="D19" s="262"/>
      <c r="E19" s="258">
        <v>65</v>
      </c>
      <c r="F19" s="350">
        <f>SUM(G19:M19)</f>
        <v>75</v>
      </c>
      <c r="G19" s="304">
        <v>0</v>
      </c>
      <c r="H19" s="304">
        <v>0</v>
      </c>
      <c r="I19" s="304">
        <v>0</v>
      </c>
      <c r="J19" s="304">
        <v>0</v>
      </c>
      <c r="K19" s="304">
        <v>65</v>
      </c>
      <c r="L19" s="304">
        <v>10</v>
      </c>
      <c r="M19" s="305">
        <v>0</v>
      </c>
      <c r="N19" s="698" t="s">
        <v>1291</v>
      </c>
    </row>
    <row r="20" spans="1:14" s="370" customFormat="1">
      <c r="A20" s="71" t="s">
        <v>298</v>
      </c>
      <c r="B20" s="259"/>
      <c r="C20" s="44">
        <v>253</v>
      </c>
      <c r="D20" s="262"/>
      <c r="E20" s="258">
        <v>0</v>
      </c>
      <c r="F20" s="350">
        <f>SUM(G20:M20)</f>
        <v>0</v>
      </c>
      <c r="G20" s="304"/>
      <c r="H20" s="304"/>
      <c r="I20" s="304"/>
      <c r="J20" s="304"/>
      <c r="K20" s="304">
        <v>0</v>
      </c>
      <c r="L20" s="304">
        <v>0</v>
      </c>
      <c r="M20" s="305">
        <v>0</v>
      </c>
      <c r="N20" s="348"/>
    </row>
    <row r="21" spans="1:14" s="351" customFormat="1">
      <c r="A21" s="259" t="s">
        <v>296</v>
      </c>
      <c r="B21" s="259"/>
      <c r="C21" s="44">
        <v>253</v>
      </c>
      <c r="D21" s="262"/>
      <c r="E21" s="258">
        <v>0</v>
      </c>
      <c r="F21" s="350">
        <f>SUM(G21:M21)</f>
        <v>0</v>
      </c>
      <c r="G21" s="304">
        <v>0</v>
      </c>
      <c r="H21" s="304">
        <v>0</v>
      </c>
      <c r="I21" s="304">
        <v>0</v>
      </c>
      <c r="J21" s="304">
        <v>0</v>
      </c>
      <c r="K21" s="304">
        <v>0</v>
      </c>
      <c r="L21" s="304">
        <v>0</v>
      </c>
      <c r="M21" s="305">
        <v>0</v>
      </c>
      <c r="N21" s="320"/>
    </row>
    <row r="22" spans="1:14" s="370" customFormat="1">
      <c r="A22" s="40" t="s">
        <v>225</v>
      </c>
      <c r="B22" s="260"/>
      <c r="C22" s="261"/>
      <c r="D22" s="262"/>
      <c r="E22" s="42">
        <f t="shared" ref="E22:M22" si="2">SUM(E18:E21)</f>
        <v>65</v>
      </c>
      <c r="F22" s="43">
        <f t="shared" si="2"/>
        <v>75</v>
      </c>
      <c r="G22" s="43">
        <f t="shared" si="2"/>
        <v>0</v>
      </c>
      <c r="H22" s="43">
        <f t="shared" si="2"/>
        <v>0</v>
      </c>
      <c r="I22" s="43">
        <f t="shared" si="2"/>
        <v>0</v>
      </c>
      <c r="J22" s="43">
        <f t="shared" si="2"/>
        <v>0</v>
      </c>
      <c r="K22" s="43">
        <f t="shared" si="2"/>
        <v>65</v>
      </c>
      <c r="L22" s="43">
        <f t="shared" si="2"/>
        <v>10</v>
      </c>
      <c r="M22" s="43">
        <f t="shared" si="2"/>
        <v>0</v>
      </c>
      <c r="N22" s="348"/>
    </row>
    <row r="23" spans="1:14" s="351" customFormat="1">
      <c r="A23" s="125" t="s">
        <v>279</v>
      </c>
      <c r="B23" s="126"/>
      <c r="C23" s="127"/>
      <c r="D23" s="126"/>
      <c r="E23" s="126"/>
      <c r="F23" s="87"/>
      <c r="G23" s="87"/>
      <c r="H23" s="87"/>
      <c r="I23" s="87"/>
      <c r="J23" s="87"/>
      <c r="K23" s="87"/>
      <c r="L23" s="87"/>
      <c r="M23" s="87"/>
      <c r="N23" s="128"/>
    </row>
    <row r="24" spans="1:14" s="370" customFormat="1">
      <c r="A24" s="259" t="s">
        <v>227</v>
      </c>
      <c r="B24" s="36"/>
      <c r="C24" s="37" t="s">
        <v>228</v>
      </c>
      <c r="D24" s="38">
        <v>0</v>
      </c>
      <c r="E24" s="258">
        <v>2</v>
      </c>
      <c r="F24" s="303">
        <f t="shared" ref="F24:F40" si="3">SUM(G24:M24)</f>
        <v>2</v>
      </c>
      <c r="G24" s="304">
        <v>0</v>
      </c>
      <c r="H24" s="304">
        <v>0</v>
      </c>
      <c r="I24" s="304">
        <v>0</v>
      </c>
      <c r="J24" s="304">
        <v>0</v>
      </c>
      <c r="K24" s="304">
        <v>2</v>
      </c>
      <c r="L24" s="304">
        <v>0</v>
      </c>
      <c r="M24" s="305">
        <v>0</v>
      </c>
      <c r="N24" s="318" t="s">
        <v>655</v>
      </c>
    </row>
    <row r="25" spans="1:14" s="370" customFormat="1" ht="15" customHeight="1">
      <c r="A25" s="259" t="s">
        <v>656</v>
      </c>
      <c r="B25" s="36"/>
      <c r="C25" s="37" t="s">
        <v>228</v>
      </c>
      <c r="D25" s="38">
        <v>0</v>
      </c>
      <c r="E25" s="258">
        <v>0</v>
      </c>
      <c r="F25" s="303">
        <f t="shared" si="3"/>
        <v>0</v>
      </c>
      <c r="G25" s="304">
        <v>0</v>
      </c>
      <c r="H25" s="304">
        <v>0</v>
      </c>
      <c r="I25" s="304">
        <v>0</v>
      </c>
      <c r="J25" s="304">
        <v>0</v>
      </c>
      <c r="K25" s="304"/>
      <c r="L25" s="304">
        <v>0</v>
      </c>
      <c r="M25" s="305">
        <v>0</v>
      </c>
      <c r="N25" s="348"/>
    </row>
    <row r="26" spans="1:14" s="370" customFormat="1">
      <c r="A26" s="259" t="s">
        <v>229</v>
      </c>
      <c r="B26" s="36"/>
      <c r="C26" s="44" t="s">
        <v>230</v>
      </c>
      <c r="D26" s="45"/>
      <c r="E26" s="258">
        <v>0</v>
      </c>
      <c r="F26" s="303">
        <f t="shared" si="3"/>
        <v>0</v>
      </c>
      <c r="G26" s="304">
        <v>0</v>
      </c>
      <c r="H26" s="304">
        <v>0</v>
      </c>
      <c r="I26" s="304">
        <v>0</v>
      </c>
      <c r="J26" s="304">
        <v>0</v>
      </c>
      <c r="K26" s="304"/>
      <c r="L26" s="304">
        <v>0</v>
      </c>
      <c r="M26" s="305">
        <v>0</v>
      </c>
      <c r="N26" s="348"/>
    </row>
    <row r="27" spans="1:14" s="370" customFormat="1">
      <c r="A27" s="259" t="s">
        <v>231</v>
      </c>
      <c r="B27" s="36"/>
      <c r="C27" s="44" t="s">
        <v>232</v>
      </c>
      <c r="D27" s="45"/>
      <c r="E27" s="258">
        <v>0</v>
      </c>
      <c r="F27" s="303">
        <f t="shared" si="3"/>
        <v>0</v>
      </c>
      <c r="G27" s="304">
        <v>0</v>
      </c>
      <c r="H27" s="304">
        <v>0</v>
      </c>
      <c r="I27" s="304">
        <v>0</v>
      </c>
      <c r="J27" s="304">
        <v>0</v>
      </c>
      <c r="K27" s="304"/>
      <c r="L27" s="304">
        <v>0</v>
      </c>
      <c r="M27" s="305">
        <v>0</v>
      </c>
      <c r="N27" s="348"/>
    </row>
    <row r="28" spans="1:14" s="370" customFormat="1">
      <c r="A28" s="259" t="s">
        <v>233</v>
      </c>
      <c r="B28" s="36"/>
      <c r="C28" s="44" t="s">
        <v>234</v>
      </c>
      <c r="D28" s="45"/>
      <c r="E28" s="258">
        <v>0</v>
      </c>
      <c r="F28" s="303">
        <f t="shared" si="3"/>
        <v>0</v>
      </c>
      <c r="G28" s="304">
        <v>0</v>
      </c>
      <c r="H28" s="304">
        <v>0</v>
      </c>
      <c r="I28" s="304">
        <v>0</v>
      </c>
      <c r="J28" s="304">
        <v>0</v>
      </c>
      <c r="K28" s="304"/>
      <c r="L28" s="304">
        <v>0</v>
      </c>
      <c r="M28" s="305">
        <v>0</v>
      </c>
      <c r="N28" s="348"/>
    </row>
    <row r="29" spans="1:14" s="370" customFormat="1">
      <c r="A29" s="259" t="s">
        <v>235</v>
      </c>
      <c r="B29" s="36"/>
      <c r="C29" s="44">
        <v>251</v>
      </c>
      <c r="D29" s="45"/>
      <c r="E29" s="258">
        <v>0</v>
      </c>
      <c r="F29" s="303">
        <f t="shared" si="3"/>
        <v>0</v>
      </c>
      <c r="G29" s="304">
        <v>0</v>
      </c>
      <c r="H29" s="304">
        <v>0</v>
      </c>
      <c r="I29" s="304">
        <v>0</v>
      </c>
      <c r="J29" s="304">
        <v>0</v>
      </c>
      <c r="K29" s="304"/>
      <c r="L29" s="304">
        <v>0</v>
      </c>
      <c r="M29" s="305">
        <v>0</v>
      </c>
      <c r="N29" s="348"/>
    </row>
    <row r="30" spans="1:14" s="370" customFormat="1" ht="147" customHeight="1">
      <c r="A30" s="530" t="s">
        <v>1093</v>
      </c>
      <c r="B30" s="167" t="s">
        <v>895</v>
      </c>
      <c r="C30" s="597">
        <v>252</v>
      </c>
      <c r="D30" s="45"/>
      <c r="E30" s="258">
        <v>180</v>
      </c>
      <c r="F30" s="303">
        <f t="shared" si="3"/>
        <v>204</v>
      </c>
      <c r="G30" s="304"/>
      <c r="H30" s="304"/>
      <c r="I30" s="304"/>
      <c r="J30" s="304"/>
      <c r="K30" s="304">
        <v>180</v>
      </c>
      <c r="L30" s="304">
        <v>24</v>
      </c>
      <c r="M30" s="305"/>
      <c r="N30" s="320" t="s">
        <v>1094</v>
      </c>
    </row>
    <row r="31" spans="1:14" s="370" customFormat="1" ht="203">
      <c r="A31" s="530" t="s">
        <v>658</v>
      </c>
      <c r="B31" s="57" t="s">
        <v>659</v>
      </c>
      <c r="C31" s="597">
        <v>252</v>
      </c>
      <c r="D31" s="45"/>
      <c r="E31" s="258">
        <v>250</v>
      </c>
      <c r="F31" s="303">
        <f t="shared" si="3"/>
        <v>283</v>
      </c>
      <c r="G31" s="304"/>
      <c r="H31" s="304"/>
      <c r="I31" s="304"/>
      <c r="J31" s="304"/>
      <c r="K31" s="304">
        <v>250</v>
      </c>
      <c r="L31" s="304">
        <v>33</v>
      </c>
      <c r="M31" s="305"/>
      <c r="N31" s="318" t="s">
        <v>1292</v>
      </c>
    </row>
    <row r="32" spans="1:14" s="370" customFormat="1">
      <c r="A32" s="259" t="s">
        <v>242</v>
      </c>
      <c r="B32" s="57"/>
      <c r="C32" s="597">
        <v>252</v>
      </c>
      <c r="D32" s="45"/>
      <c r="E32" s="258">
        <v>0</v>
      </c>
      <c r="F32" s="303">
        <f t="shared" si="3"/>
        <v>0</v>
      </c>
      <c r="G32" s="304">
        <v>0</v>
      </c>
      <c r="H32" s="304">
        <v>0</v>
      </c>
      <c r="I32" s="304">
        <v>0</v>
      </c>
      <c r="J32" s="304">
        <v>0</v>
      </c>
      <c r="K32" s="304">
        <v>0</v>
      </c>
      <c r="L32" s="304">
        <v>0</v>
      </c>
      <c r="M32" s="305">
        <v>0</v>
      </c>
      <c r="N32" s="318"/>
    </row>
    <row r="33" spans="1:14" s="370" customFormat="1" ht="58">
      <c r="A33" s="544" t="s">
        <v>998</v>
      </c>
      <c r="B33" s="57" t="s">
        <v>997</v>
      </c>
      <c r="C33" s="597">
        <v>252</v>
      </c>
      <c r="D33" s="45"/>
      <c r="E33" s="258">
        <v>545</v>
      </c>
      <c r="F33" s="303">
        <f t="shared" si="3"/>
        <v>400</v>
      </c>
      <c r="G33" s="304">
        <v>0</v>
      </c>
      <c r="H33" s="304">
        <v>0</v>
      </c>
      <c r="I33" s="304">
        <v>0</v>
      </c>
      <c r="J33" s="304">
        <v>0</v>
      </c>
      <c r="K33" s="304">
        <v>0</v>
      </c>
      <c r="L33" s="304">
        <v>400</v>
      </c>
      <c r="M33" s="305">
        <v>0</v>
      </c>
      <c r="N33" s="320" t="s">
        <v>1294</v>
      </c>
    </row>
    <row r="34" spans="1:14" s="370" customFormat="1" ht="101.5">
      <c r="A34" s="544" t="s">
        <v>660</v>
      </c>
      <c r="B34" s="57"/>
      <c r="C34" s="597">
        <v>252</v>
      </c>
      <c r="D34" s="45"/>
      <c r="E34" s="258">
        <v>75</v>
      </c>
      <c r="F34" s="303">
        <f t="shared" si="3"/>
        <v>189</v>
      </c>
      <c r="G34" s="304">
        <v>0</v>
      </c>
      <c r="H34" s="304">
        <v>0</v>
      </c>
      <c r="I34" s="304">
        <v>0</v>
      </c>
      <c r="J34" s="304">
        <v>0</v>
      </c>
      <c r="K34" s="304">
        <v>0</v>
      </c>
      <c r="L34" s="304">
        <f>75+114</f>
        <v>189</v>
      </c>
      <c r="M34" s="305">
        <v>0</v>
      </c>
      <c r="N34" s="98" t="s">
        <v>1442</v>
      </c>
    </row>
    <row r="35" spans="1:14" s="370" customFormat="1">
      <c r="A35" s="259" t="s">
        <v>243</v>
      </c>
      <c r="B35" s="36"/>
      <c r="C35" s="44">
        <v>252</v>
      </c>
      <c r="D35" s="45"/>
      <c r="E35" s="258">
        <v>0</v>
      </c>
      <c r="F35" s="303">
        <f t="shared" si="3"/>
        <v>0</v>
      </c>
      <c r="G35" s="304">
        <v>0</v>
      </c>
      <c r="H35" s="304">
        <v>0</v>
      </c>
      <c r="I35" s="304">
        <v>0</v>
      </c>
      <c r="J35" s="304">
        <v>0</v>
      </c>
      <c r="K35" s="304">
        <v>0</v>
      </c>
      <c r="L35" s="304">
        <v>0</v>
      </c>
      <c r="M35" s="305">
        <v>0</v>
      </c>
      <c r="N35" s="318"/>
    </row>
    <row r="36" spans="1:14" s="370" customFormat="1">
      <c r="A36" s="259" t="s">
        <v>244</v>
      </c>
      <c r="B36" s="36"/>
      <c r="C36" s="44">
        <v>253</v>
      </c>
      <c r="D36" s="259"/>
      <c r="E36" s="258">
        <v>0</v>
      </c>
      <c r="F36" s="303">
        <f t="shared" si="3"/>
        <v>0</v>
      </c>
      <c r="G36" s="304">
        <v>0</v>
      </c>
      <c r="H36" s="304">
        <v>0</v>
      </c>
      <c r="I36" s="304">
        <v>0</v>
      </c>
      <c r="J36" s="304">
        <v>0</v>
      </c>
      <c r="K36" s="304">
        <v>0</v>
      </c>
      <c r="L36" s="304">
        <v>0</v>
      </c>
      <c r="M36" s="305">
        <v>0</v>
      </c>
      <c r="N36" s="348"/>
    </row>
    <row r="37" spans="1:14" s="370" customFormat="1">
      <c r="A37" s="259" t="s">
        <v>245</v>
      </c>
      <c r="B37" s="36"/>
      <c r="C37" s="44">
        <v>255</v>
      </c>
      <c r="D37" s="259"/>
      <c r="E37" s="258">
        <v>0</v>
      </c>
      <c r="F37" s="303">
        <f t="shared" si="3"/>
        <v>0</v>
      </c>
      <c r="G37" s="304">
        <v>0</v>
      </c>
      <c r="H37" s="304">
        <v>0</v>
      </c>
      <c r="I37" s="304">
        <v>0</v>
      </c>
      <c r="J37" s="304">
        <v>0</v>
      </c>
      <c r="K37" s="304">
        <v>0</v>
      </c>
      <c r="L37" s="304">
        <v>0</v>
      </c>
      <c r="M37" s="305">
        <v>0</v>
      </c>
      <c r="N37" s="348"/>
    </row>
    <row r="38" spans="1:14" s="370" customFormat="1">
      <c r="A38" s="259" t="s">
        <v>246</v>
      </c>
      <c r="B38" s="36"/>
      <c r="C38" s="44">
        <v>256</v>
      </c>
      <c r="D38" s="259"/>
      <c r="E38" s="258">
        <v>0</v>
      </c>
      <c r="F38" s="303">
        <f t="shared" si="3"/>
        <v>0</v>
      </c>
      <c r="G38" s="304">
        <v>0</v>
      </c>
      <c r="H38" s="304">
        <v>0</v>
      </c>
      <c r="I38" s="304">
        <v>0</v>
      </c>
      <c r="J38" s="304">
        <v>0</v>
      </c>
      <c r="K38" s="304">
        <v>0</v>
      </c>
      <c r="L38" s="304">
        <v>0</v>
      </c>
      <c r="M38" s="305">
        <v>0</v>
      </c>
      <c r="N38" s="348"/>
    </row>
    <row r="39" spans="1:14" s="370" customFormat="1">
      <c r="A39" s="259" t="s">
        <v>247</v>
      </c>
      <c r="B39" s="36"/>
      <c r="C39" s="44">
        <v>257</v>
      </c>
      <c r="D39" s="259"/>
      <c r="E39" s="258">
        <v>0</v>
      </c>
      <c r="F39" s="303">
        <f t="shared" si="3"/>
        <v>0</v>
      </c>
      <c r="G39" s="304">
        <v>0</v>
      </c>
      <c r="H39" s="304">
        <v>0</v>
      </c>
      <c r="I39" s="304">
        <v>0</v>
      </c>
      <c r="J39" s="304">
        <v>0</v>
      </c>
      <c r="K39" s="304">
        <v>0</v>
      </c>
      <c r="L39" s="304">
        <v>0</v>
      </c>
      <c r="M39" s="305">
        <v>0</v>
      </c>
      <c r="N39" s="348"/>
    </row>
    <row r="40" spans="1:14" s="370" customFormat="1">
      <c r="A40" s="259" t="s">
        <v>248</v>
      </c>
      <c r="B40" s="36"/>
      <c r="C40" s="44" t="s">
        <v>249</v>
      </c>
      <c r="D40" s="259"/>
      <c r="E40" s="258">
        <v>1</v>
      </c>
      <c r="F40" s="303">
        <f t="shared" si="3"/>
        <v>1</v>
      </c>
      <c r="G40" s="304">
        <v>0</v>
      </c>
      <c r="H40" s="304">
        <v>0</v>
      </c>
      <c r="I40" s="304">
        <v>0</v>
      </c>
      <c r="J40" s="304">
        <v>0</v>
      </c>
      <c r="K40" s="304">
        <v>1</v>
      </c>
      <c r="L40" s="304">
        <v>0</v>
      </c>
      <c r="M40" s="305">
        <v>0</v>
      </c>
      <c r="N40" s="318"/>
    </row>
    <row r="41" spans="1:14" s="370" customFormat="1">
      <c r="A41" s="260" t="s">
        <v>250</v>
      </c>
      <c r="B41" s="36"/>
      <c r="C41" s="261" t="s">
        <v>251</v>
      </c>
      <c r="D41" s="260"/>
      <c r="E41" s="258">
        <v>0</v>
      </c>
      <c r="F41" s="303">
        <f>SUM(G41:M41)</f>
        <v>0</v>
      </c>
      <c r="G41" s="304">
        <v>0</v>
      </c>
      <c r="H41" s="304">
        <v>0</v>
      </c>
      <c r="I41" s="304">
        <v>0</v>
      </c>
      <c r="J41" s="304">
        <v>0</v>
      </c>
      <c r="K41" s="304">
        <v>0</v>
      </c>
      <c r="L41" s="304">
        <v>0</v>
      </c>
      <c r="M41" s="305">
        <v>0</v>
      </c>
      <c r="N41" s="318"/>
    </row>
    <row r="42" spans="1:14" s="370" customFormat="1">
      <c r="A42" s="601" t="s">
        <v>661</v>
      </c>
      <c r="B42" s="628"/>
      <c r="C42" s="621" t="s">
        <v>253</v>
      </c>
      <c r="D42" s="601"/>
      <c r="E42" s="311">
        <v>0</v>
      </c>
      <c r="F42" s="303">
        <f>SUM(G42:M42)</f>
        <v>0</v>
      </c>
      <c r="G42" s="163">
        <v>0</v>
      </c>
      <c r="H42" s="163">
        <v>0</v>
      </c>
      <c r="I42" s="163">
        <v>0</v>
      </c>
      <c r="J42" s="163">
        <v>0</v>
      </c>
      <c r="K42" s="163">
        <v>0</v>
      </c>
      <c r="L42" s="163">
        <v>0</v>
      </c>
      <c r="M42" s="164">
        <v>0</v>
      </c>
      <c r="N42" s="602"/>
    </row>
    <row r="43" spans="1:14" s="370" customFormat="1">
      <c r="A43" s="40" t="s">
        <v>254</v>
      </c>
      <c r="B43" s="260"/>
      <c r="C43" s="261"/>
      <c r="D43" s="262"/>
      <c r="E43" s="42">
        <f t="shared" ref="E43:M43" si="4">SUM(E24:E42)</f>
        <v>1053</v>
      </c>
      <c r="F43" s="43">
        <f t="shared" si="4"/>
        <v>1079</v>
      </c>
      <c r="G43" s="43">
        <f t="shared" si="4"/>
        <v>0</v>
      </c>
      <c r="H43" s="43">
        <f t="shared" si="4"/>
        <v>0</v>
      </c>
      <c r="I43" s="43">
        <f t="shared" si="4"/>
        <v>0</v>
      </c>
      <c r="J43" s="43">
        <f t="shared" si="4"/>
        <v>0</v>
      </c>
      <c r="K43" s="43">
        <f t="shared" si="4"/>
        <v>433</v>
      </c>
      <c r="L43" s="43">
        <f t="shared" si="4"/>
        <v>646</v>
      </c>
      <c r="M43" s="43">
        <f t="shared" si="4"/>
        <v>0</v>
      </c>
      <c r="N43" s="348"/>
    </row>
    <row r="44" spans="1:14" s="370" customFormat="1">
      <c r="A44" s="40" t="s">
        <v>255</v>
      </c>
      <c r="B44" s="51"/>
      <c r="C44" s="147"/>
      <c r="D44" s="262"/>
      <c r="E44" s="236"/>
      <c r="F44" s="765">
        <f>SUM(G44:M44)</f>
        <v>0</v>
      </c>
      <c r="G44" s="235">
        <v>0</v>
      </c>
      <c r="H44" s="235">
        <v>0</v>
      </c>
      <c r="I44" s="235">
        <v>0</v>
      </c>
      <c r="J44" s="235">
        <v>0</v>
      </c>
      <c r="K44" s="235">
        <v>0</v>
      </c>
      <c r="L44" s="235">
        <v>0</v>
      </c>
      <c r="M44" s="235">
        <v>0</v>
      </c>
      <c r="N44" s="348"/>
    </row>
    <row r="45" spans="1:14" s="370" customFormat="1">
      <c r="A45" s="40" t="s">
        <v>256</v>
      </c>
      <c r="B45" s="46"/>
      <c r="C45" s="47"/>
      <c r="D45" s="48">
        <f>D43+D22+D16</f>
        <v>0.84000000000000008</v>
      </c>
      <c r="E45" s="42">
        <f t="shared" ref="E45:M45" si="5">E43+E22+E16-E44</f>
        <v>1299</v>
      </c>
      <c r="F45" s="17">
        <f t="shared" si="5"/>
        <v>1336</v>
      </c>
      <c r="G45" s="17">
        <f t="shared" si="5"/>
        <v>0</v>
      </c>
      <c r="H45" s="17">
        <f t="shared" si="5"/>
        <v>0</v>
      </c>
      <c r="I45" s="17">
        <f t="shared" si="5"/>
        <v>0</v>
      </c>
      <c r="J45" s="17">
        <f t="shared" si="5"/>
        <v>0</v>
      </c>
      <c r="K45" s="17">
        <f t="shared" si="5"/>
        <v>565</v>
      </c>
      <c r="L45" s="17">
        <f t="shared" si="5"/>
        <v>771</v>
      </c>
      <c r="M45" s="17">
        <f t="shared" si="5"/>
        <v>0</v>
      </c>
      <c r="N45" s="346"/>
    </row>
    <row r="46" spans="1:14" s="370" customFormat="1">
      <c r="B46" s="264" t="s">
        <v>299</v>
      </c>
      <c r="C46" s="177"/>
      <c r="D46" s="178"/>
      <c r="E46" s="264">
        <f>E45-C51</f>
        <v>1184</v>
      </c>
      <c r="F46" s="264">
        <f>F45-B49</f>
        <v>1221</v>
      </c>
    </row>
    <row r="47" spans="1:14" s="370" customFormat="1">
      <c r="C47" s="639"/>
    </row>
    <row r="48" spans="1:14" s="370" customFormat="1">
      <c r="A48" s="56" t="s">
        <v>300</v>
      </c>
      <c r="B48" s="377" t="s">
        <v>1012</v>
      </c>
      <c r="C48" s="31" t="s">
        <v>735</v>
      </c>
      <c r="D48" s="31"/>
      <c r="E48" s="31"/>
      <c r="F48" s="31"/>
      <c r="G48" s="31"/>
      <c r="H48" s="31"/>
      <c r="I48" s="31"/>
      <c r="J48" s="31"/>
      <c r="K48" s="31"/>
      <c r="L48" s="31"/>
      <c r="M48" s="31"/>
      <c r="N48" s="31"/>
    </row>
    <row r="49" spans="1:14" s="370" customFormat="1">
      <c r="A49" s="57" t="s">
        <v>301</v>
      </c>
      <c r="B49" s="58">
        <v>115</v>
      </c>
      <c r="C49" s="58">
        <v>115</v>
      </c>
      <c r="D49" s="31"/>
      <c r="E49" s="31"/>
      <c r="F49" s="31"/>
      <c r="G49" s="31"/>
      <c r="H49" s="179"/>
      <c r="I49" s="31"/>
      <c r="J49" s="31"/>
      <c r="K49" s="31"/>
      <c r="L49" s="31"/>
      <c r="M49" s="31"/>
      <c r="N49" s="31"/>
    </row>
    <row r="50" spans="1:14" s="370" customFormat="1">
      <c r="A50" s="259" t="s">
        <v>302</v>
      </c>
      <c r="B50" s="59">
        <v>0</v>
      </c>
      <c r="C50" s="59">
        <v>0</v>
      </c>
      <c r="D50" s="31"/>
      <c r="E50" s="31"/>
      <c r="F50" s="31"/>
      <c r="G50" s="31"/>
      <c r="H50" s="31"/>
      <c r="I50" s="31"/>
      <c r="J50" s="31"/>
      <c r="K50" s="31"/>
      <c r="L50" s="31"/>
      <c r="M50" s="31"/>
      <c r="N50" s="31"/>
    </row>
    <row r="51" spans="1:14" s="370" customFormat="1">
      <c r="A51" s="60" t="s">
        <v>495</v>
      </c>
      <c r="B51" s="61">
        <f>B49-B50</f>
        <v>115</v>
      </c>
      <c r="C51" s="61">
        <f>C49-C50</f>
        <v>115</v>
      </c>
      <c r="D51" s="31"/>
      <c r="E51" s="31"/>
      <c r="F51" s="31"/>
      <c r="G51" s="31"/>
      <c r="H51" s="31"/>
      <c r="I51" s="31"/>
      <c r="J51" s="31"/>
      <c r="K51" s="31"/>
      <c r="L51" s="31"/>
      <c r="M51" s="31"/>
      <c r="N51" s="31"/>
    </row>
    <row r="52" spans="1:14" s="370" customFormat="1" ht="31.25" customHeight="1">
      <c r="A52" s="1038" t="s">
        <v>662</v>
      </c>
      <c r="B52" s="1039"/>
      <c r="C52" s="1039"/>
      <c r="D52" s="31"/>
      <c r="E52" s="31"/>
      <c r="F52" s="31"/>
      <c r="G52" s="31"/>
      <c r="H52" s="31"/>
      <c r="I52" s="31"/>
      <c r="J52" s="31"/>
      <c r="K52" s="31"/>
      <c r="L52" s="31"/>
      <c r="M52" s="31"/>
      <c r="N52" s="536"/>
    </row>
    <row r="53" spans="1:14" s="370" customFormat="1" ht="15" thickBot="1">
      <c r="A53" s="1056"/>
      <c r="B53" s="1057"/>
      <c r="C53" s="1057"/>
      <c r="D53" s="31"/>
      <c r="E53" s="31"/>
      <c r="F53" s="31"/>
      <c r="G53" s="31"/>
      <c r="H53" s="31"/>
      <c r="I53" s="31"/>
      <c r="J53" s="31"/>
      <c r="K53" s="31"/>
      <c r="L53" s="31"/>
      <c r="M53" s="31"/>
      <c r="N53" s="536"/>
    </row>
    <row r="54" spans="1:14" s="370" customFormat="1" ht="15.5">
      <c r="A54" s="873" t="s">
        <v>257</v>
      </c>
      <c r="B54" s="874"/>
      <c r="C54" s="874"/>
      <c r="D54" s="874"/>
      <c r="E54" s="874"/>
      <c r="F54" s="874"/>
      <c r="G54" s="550"/>
      <c r="H54" s="31"/>
      <c r="I54" s="31"/>
      <c r="J54" s="31"/>
      <c r="K54" s="31"/>
      <c r="L54" s="31"/>
      <c r="M54" s="31"/>
      <c r="N54" s="536"/>
    </row>
    <row r="55" spans="1:14" s="370" customFormat="1" ht="15.5">
      <c r="A55" s="875"/>
      <c r="B55" s="876"/>
      <c r="C55" s="876"/>
      <c r="D55" s="876"/>
      <c r="E55" s="876"/>
      <c r="F55" s="876"/>
      <c r="G55" s="551"/>
      <c r="H55" s="31"/>
      <c r="I55" s="31"/>
      <c r="J55" s="31"/>
      <c r="K55" s="31"/>
      <c r="L55" s="31"/>
      <c r="M55" s="31"/>
      <c r="N55" s="536"/>
    </row>
    <row r="56" spans="1:14" s="370" customFormat="1">
      <c r="A56" s="877" t="s">
        <v>258</v>
      </c>
      <c r="B56" s="878"/>
      <c r="C56" s="552"/>
      <c r="D56" s="552"/>
      <c r="E56" s="552"/>
      <c r="F56" s="552"/>
      <c r="G56" s="551"/>
      <c r="H56" s="31"/>
      <c r="I56" s="31"/>
      <c r="J56" s="31"/>
      <c r="K56" s="31"/>
      <c r="L56" s="31"/>
      <c r="M56" s="31"/>
      <c r="N56" s="536"/>
    </row>
    <row r="57" spans="1:14" s="370" customFormat="1" ht="59.5" customHeight="1">
      <c r="A57" s="553" t="s">
        <v>1009</v>
      </c>
      <c r="B57" s="554">
        <f>E45</f>
        <v>1299</v>
      </c>
      <c r="C57" s="1014" t="s">
        <v>1095</v>
      </c>
      <c r="D57" s="1058"/>
      <c r="E57" s="1058"/>
      <c r="F57" s="1058"/>
      <c r="G57" s="1059"/>
      <c r="H57" s="31"/>
      <c r="I57" s="31"/>
      <c r="J57" s="31"/>
      <c r="K57" s="31"/>
      <c r="L57" s="31"/>
      <c r="M57" s="31"/>
      <c r="N57" s="536"/>
    </row>
    <row r="58" spans="1:14" s="370" customFormat="1">
      <c r="A58" s="557" t="s">
        <v>1029</v>
      </c>
      <c r="B58" s="560">
        <f>F45</f>
        <v>1336</v>
      </c>
      <c r="C58" s="555"/>
      <c r="D58" s="556"/>
      <c r="E58" s="556"/>
      <c r="F58" s="556"/>
      <c r="G58" s="551"/>
      <c r="H58" s="31"/>
      <c r="I58" s="31"/>
      <c r="J58" s="31"/>
      <c r="K58" s="31"/>
      <c r="L58" s="31"/>
      <c r="M58" s="31"/>
      <c r="N58" s="536"/>
    </row>
    <row r="59" spans="1:14" s="370" customFormat="1">
      <c r="A59" s="559" t="s">
        <v>259</v>
      </c>
      <c r="B59" s="560">
        <f>B58-B57</f>
        <v>37</v>
      </c>
      <c r="C59" s="555"/>
      <c r="D59" s="556"/>
      <c r="E59" s="556"/>
      <c r="F59" s="556"/>
      <c r="G59" s="551"/>
      <c r="H59" s="31"/>
      <c r="I59" s="31"/>
      <c r="J59" s="31"/>
      <c r="K59" s="31"/>
      <c r="L59" s="31"/>
      <c r="M59" s="31"/>
      <c r="N59" s="536"/>
    </row>
    <row r="60" spans="1:14" s="370" customFormat="1" ht="15.5" customHeight="1">
      <c r="A60" s="559" t="s">
        <v>260</v>
      </c>
      <c r="B60" s="561">
        <f>B59/B57</f>
        <v>2.848344880677444E-2</v>
      </c>
      <c r="C60" s="1014"/>
      <c r="D60" s="1058"/>
      <c r="E60" s="1058"/>
      <c r="F60" s="1058"/>
      <c r="G60" s="1059"/>
      <c r="H60" s="31"/>
      <c r="I60" s="31"/>
      <c r="J60" s="31"/>
      <c r="K60" s="31"/>
      <c r="L60" s="31"/>
      <c r="M60" s="31"/>
      <c r="N60" s="536"/>
    </row>
    <row r="61" spans="1:14" s="370" customFormat="1">
      <c r="A61" s="562"/>
      <c r="B61" s="556"/>
      <c r="C61" s="660"/>
      <c r="D61" s="556"/>
      <c r="E61" s="556"/>
      <c r="F61" s="556"/>
      <c r="G61" s="551"/>
      <c r="H61" s="31"/>
      <c r="I61" s="31"/>
      <c r="J61" s="31"/>
      <c r="K61" s="31"/>
      <c r="L61" s="31"/>
      <c r="M61" s="31"/>
      <c r="N61" s="536"/>
    </row>
    <row r="62" spans="1:14" s="29" customFormat="1">
      <c r="A62" s="936" t="s">
        <v>261</v>
      </c>
      <c r="B62" s="937"/>
      <c r="C62" s="937"/>
      <c r="D62" s="937"/>
      <c r="E62" s="937"/>
      <c r="F62" s="937"/>
      <c r="G62" s="733"/>
      <c r="H62" s="737"/>
      <c r="I62" s="737"/>
      <c r="J62" s="737"/>
      <c r="K62" s="737"/>
      <c r="L62" s="737"/>
      <c r="M62" s="737"/>
      <c r="N62" s="745"/>
    </row>
    <row r="63" spans="1:14" s="29" customFormat="1" ht="96.5" customHeight="1">
      <c r="A63" s="943" t="s">
        <v>1096</v>
      </c>
      <c r="B63" s="944"/>
      <c r="C63" s="944"/>
      <c r="D63" s="944"/>
      <c r="E63" s="944"/>
      <c r="F63" s="945"/>
      <c r="G63" s="733"/>
      <c r="H63" s="737"/>
      <c r="I63" s="737"/>
      <c r="J63" s="737"/>
      <c r="K63" s="737"/>
      <c r="L63" s="737"/>
      <c r="M63" s="737"/>
      <c r="N63" s="745"/>
    </row>
    <row r="64" spans="1:14" s="29" customFormat="1">
      <c r="A64" s="734"/>
      <c r="B64" s="735"/>
      <c r="C64" s="735"/>
      <c r="D64" s="735"/>
      <c r="E64" s="735"/>
      <c r="F64" s="735"/>
      <c r="G64" s="733"/>
      <c r="H64" s="737"/>
      <c r="I64" s="737"/>
      <c r="J64" s="737"/>
      <c r="K64" s="737"/>
      <c r="L64" s="737"/>
      <c r="M64" s="737"/>
      <c r="N64" s="745"/>
    </row>
    <row r="65" spans="1:14" s="29" customFormat="1">
      <c r="A65" s="736" t="s">
        <v>262</v>
      </c>
      <c r="B65" s="737"/>
      <c r="C65" s="738"/>
      <c r="D65" s="737"/>
      <c r="E65" s="737"/>
      <c r="F65" s="737"/>
      <c r="G65" s="733"/>
      <c r="H65" s="737"/>
      <c r="I65" s="737"/>
      <c r="J65" s="737"/>
      <c r="K65" s="737"/>
      <c r="L65" s="737"/>
      <c r="M65" s="737"/>
      <c r="N65" s="745"/>
    </row>
    <row r="66" spans="1:14" s="29" customFormat="1" ht="183" customHeight="1">
      <c r="A66" s="943" t="s">
        <v>924</v>
      </c>
      <c r="B66" s="944"/>
      <c r="C66" s="944"/>
      <c r="D66" s="944"/>
      <c r="E66" s="944"/>
      <c r="F66" s="945"/>
      <c r="G66" s="733"/>
      <c r="H66" s="737"/>
      <c r="I66" s="737"/>
      <c r="J66" s="737"/>
      <c r="K66" s="737"/>
      <c r="L66" s="737"/>
      <c r="M66" s="737"/>
      <c r="N66" s="745"/>
    </row>
    <row r="67" spans="1:14" s="29" customFormat="1">
      <c r="A67" s="739"/>
      <c r="B67" s="737"/>
      <c r="C67" s="738"/>
      <c r="D67" s="737"/>
      <c r="E67" s="737"/>
      <c r="F67" s="737"/>
      <c r="G67" s="733"/>
      <c r="H67" s="737"/>
      <c r="I67" s="737"/>
      <c r="J67" s="737"/>
      <c r="K67" s="737"/>
      <c r="L67" s="737"/>
      <c r="M67" s="737"/>
      <c r="N67" s="745"/>
    </row>
    <row r="68" spans="1:14" s="29" customFormat="1">
      <c r="A68" s="936" t="s">
        <v>1020</v>
      </c>
      <c r="B68" s="937"/>
      <c r="C68" s="937"/>
      <c r="D68" s="937"/>
      <c r="E68" s="937"/>
      <c r="F68" s="937"/>
      <c r="G68" s="733"/>
      <c r="H68" s="737"/>
      <c r="I68" s="737"/>
      <c r="J68" s="737"/>
      <c r="K68" s="737"/>
      <c r="L68" s="737"/>
      <c r="M68" s="737"/>
      <c r="N68" s="745"/>
    </row>
    <row r="69" spans="1:14" s="29" customFormat="1">
      <c r="A69" s="941" t="s">
        <v>1021</v>
      </c>
      <c r="B69" s="942"/>
      <c r="C69" s="942"/>
      <c r="D69" s="942"/>
      <c r="E69" s="942"/>
      <c r="F69" s="942"/>
      <c r="G69" s="733"/>
      <c r="H69" s="737"/>
      <c r="I69" s="737"/>
      <c r="J69" s="737"/>
      <c r="K69" s="737"/>
      <c r="L69" s="737"/>
      <c r="M69" s="737"/>
      <c r="N69" s="745"/>
    </row>
    <row r="70" spans="1:14" s="29" customFormat="1" ht="85" customHeight="1">
      <c r="A70" s="943" t="s">
        <v>925</v>
      </c>
      <c r="B70" s="946"/>
      <c r="C70" s="946"/>
      <c r="D70" s="946"/>
      <c r="E70" s="946"/>
      <c r="F70" s="947"/>
      <c r="G70" s="733"/>
      <c r="H70" s="737"/>
      <c r="I70" s="737"/>
      <c r="J70" s="737"/>
      <c r="K70" s="737"/>
      <c r="L70" s="737"/>
      <c r="M70" s="737"/>
      <c r="N70" s="745"/>
    </row>
    <row r="71" spans="1:14" s="29" customFormat="1">
      <c r="A71" s="736"/>
      <c r="B71" s="737"/>
      <c r="C71" s="738"/>
      <c r="D71" s="737"/>
      <c r="E71" s="737"/>
      <c r="F71" s="737"/>
      <c r="G71" s="733"/>
      <c r="H71" s="737"/>
      <c r="I71" s="737"/>
      <c r="J71" s="737"/>
      <c r="K71" s="737"/>
      <c r="L71" s="737"/>
      <c r="M71" s="737"/>
      <c r="N71" s="745"/>
    </row>
    <row r="72" spans="1:14" s="29" customFormat="1">
      <c r="A72" s="936" t="s">
        <v>264</v>
      </c>
      <c r="B72" s="937"/>
      <c r="C72" s="937"/>
      <c r="D72" s="937"/>
      <c r="E72" s="746"/>
      <c r="F72" s="737"/>
      <c r="G72" s="733"/>
      <c r="H72" s="737"/>
      <c r="I72" s="737"/>
      <c r="J72" s="737"/>
      <c r="K72" s="737"/>
      <c r="L72" s="737"/>
      <c r="M72" s="737"/>
      <c r="N72" s="745"/>
    </row>
    <row r="73" spans="1:14" s="29" customFormat="1" ht="98" customHeight="1">
      <c r="A73" s="943" t="s">
        <v>801</v>
      </c>
      <c r="B73" s="946"/>
      <c r="C73" s="946"/>
      <c r="D73" s="946"/>
      <c r="E73" s="946"/>
      <c r="F73" s="947"/>
      <c r="G73" s="733"/>
      <c r="H73" s="737"/>
      <c r="I73" s="737"/>
      <c r="J73" s="737"/>
      <c r="K73" s="737"/>
      <c r="L73" s="737"/>
      <c r="M73" s="737"/>
      <c r="N73" s="745"/>
    </row>
    <row r="74" spans="1:14" s="29" customFormat="1">
      <c r="A74" s="739"/>
      <c r="B74" s="737"/>
      <c r="C74" s="738"/>
      <c r="D74" s="737"/>
      <c r="E74" s="737"/>
      <c r="F74" s="737"/>
      <c r="G74" s="733"/>
      <c r="H74" s="737"/>
      <c r="I74" s="737"/>
      <c r="J74" s="737"/>
      <c r="K74" s="737"/>
      <c r="L74" s="737"/>
      <c r="M74" s="737"/>
      <c r="N74" s="745"/>
    </row>
    <row r="75" spans="1:14" s="29" customFormat="1">
      <c r="A75" s="736" t="s">
        <v>265</v>
      </c>
      <c r="B75" s="737"/>
      <c r="C75" s="738"/>
      <c r="D75" s="737"/>
      <c r="E75" s="737"/>
      <c r="F75" s="737"/>
      <c r="G75" s="733"/>
      <c r="H75" s="737"/>
      <c r="I75" s="737"/>
      <c r="J75" s="737"/>
      <c r="K75" s="737"/>
      <c r="L75" s="737"/>
      <c r="M75" s="737"/>
      <c r="N75" s="745"/>
    </row>
    <row r="76" spans="1:14" s="29" customFormat="1">
      <c r="A76" s="740" t="s">
        <v>266</v>
      </c>
      <c r="B76" s="737"/>
      <c r="C76" s="738"/>
      <c r="D76" s="737"/>
      <c r="E76" s="737"/>
      <c r="F76" s="737"/>
      <c r="G76" s="733"/>
      <c r="H76" s="737"/>
      <c r="I76" s="737"/>
      <c r="J76" s="737"/>
      <c r="K76" s="737"/>
      <c r="L76" s="737"/>
      <c r="M76" s="737"/>
      <c r="N76" s="745"/>
    </row>
    <row r="77" spans="1:14" s="29" customFormat="1" ht="26.25" customHeight="1">
      <c r="A77" s="948" t="s">
        <v>1030</v>
      </c>
      <c r="B77" s="949"/>
      <c r="C77" s="949"/>
      <c r="D77" s="949"/>
      <c r="E77" s="949"/>
      <c r="F77" s="949"/>
      <c r="G77" s="733"/>
      <c r="H77" s="737"/>
      <c r="I77" s="737"/>
      <c r="J77" s="737"/>
      <c r="K77" s="737"/>
      <c r="L77" s="737"/>
      <c r="M77" s="737"/>
      <c r="N77" s="745"/>
    </row>
    <row r="78" spans="1:14" s="29" customFormat="1" ht="132.5" customHeight="1">
      <c r="A78" s="943" t="s">
        <v>926</v>
      </c>
      <c r="B78" s="1060"/>
      <c r="C78" s="1060"/>
      <c r="D78" s="1060"/>
      <c r="E78" s="1060"/>
      <c r="F78" s="1061"/>
      <c r="G78" s="733"/>
      <c r="H78" s="737"/>
      <c r="I78" s="737"/>
      <c r="J78" s="737"/>
      <c r="K78" s="737"/>
      <c r="L78" s="737"/>
      <c r="M78" s="737"/>
      <c r="N78" s="745"/>
    </row>
    <row r="79" spans="1:14" s="29" customFormat="1">
      <c r="A79" s="950"/>
      <c r="B79" s="951"/>
      <c r="C79" s="951"/>
      <c r="D79" s="951"/>
      <c r="E79" s="951"/>
      <c r="F79" s="951"/>
      <c r="G79" s="733"/>
      <c r="H79" s="737"/>
      <c r="I79" s="737"/>
      <c r="J79" s="737"/>
      <c r="K79" s="737"/>
      <c r="L79" s="737"/>
      <c r="M79" s="737"/>
      <c r="N79" s="745"/>
    </row>
    <row r="80" spans="1:14" s="29" customFormat="1">
      <c r="A80" s="740" t="s">
        <v>268</v>
      </c>
      <c r="B80" s="737"/>
      <c r="C80" s="738"/>
      <c r="D80" s="737"/>
      <c r="E80" s="737"/>
      <c r="F80" s="737"/>
      <c r="G80" s="733"/>
      <c r="H80" s="737"/>
      <c r="I80" s="737"/>
      <c r="J80" s="737"/>
      <c r="K80" s="737"/>
      <c r="L80" s="737"/>
      <c r="M80" s="737"/>
      <c r="N80" s="745"/>
    </row>
    <row r="81" spans="1:14" s="29" customFormat="1" ht="28.75" customHeight="1">
      <c r="A81" s="948" t="s">
        <v>269</v>
      </c>
      <c r="B81" s="949"/>
      <c r="C81" s="949"/>
      <c r="D81" s="949"/>
      <c r="E81" s="949"/>
      <c r="F81" s="949"/>
      <c r="G81" s="733"/>
      <c r="H81" s="737"/>
      <c r="I81" s="737"/>
      <c r="J81" s="737"/>
      <c r="K81" s="737"/>
      <c r="L81" s="737"/>
      <c r="M81" s="737"/>
      <c r="N81" s="745"/>
    </row>
    <row r="82" spans="1:14" s="29" customFormat="1" ht="30" customHeight="1">
      <c r="A82" s="943" t="s">
        <v>927</v>
      </c>
      <c r="B82" s="946"/>
      <c r="C82" s="946"/>
      <c r="D82" s="946"/>
      <c r="E82" s="946"/>
      <c r="F82" s="947"/>
      <c r="G82" s="733"/>
      <c r="H82" s="737"/>
      <c r="I82" s="737"/>
      <c r="J82" s="737"/>
      <c r="K82" s="737"/>
      <c r="L82" s="737"/>
      <c r="M82" s="737"/>
      <c r="N82" s="745"/>
    </row>
    <row r="83" spans="1:14" s="29" customFormat="1" ht="15" thickBot="1">
      <c r="A83" s="741"/>
      <c r="B83" s="742"/>
      <c r="C83" s="743"/>
      <c r="D83" s="742"/>
      <c r="E83" s="742"/>
      <c r="F83" s="742"/>
      <c r="G83" s="744"/>
      <c r="H83" s="737"/>
      <c r="I83" s="737"/>
      <c r="J83" s="737"/>
      <c r="K83" s="737"/>
      <c r="L83" s="737"/>
      <c r="M83" s="737"/>
      <c r="N83" s="745"/>
    </row>
    <row r="84" spans="1:14" s="29" customFormat="1">
      <c r="A84" s="737"/>
      <c r="B84" s="737"/>
      <c r="C84" s="738"/>
      <c r="D84" s="737"/>
      <c r="E84" s="737"/>
      <c r="F84" s="737"/>
      <c r="G84" s="737"/>
      <c r="H84" s="737"/>
      <c r="I84" s="737"/>
      <c r="J84" s="737"/>
      <c r="K84" s="737"/>
      <c r="L84" s="737"/>
      <c r="M84" s="737"/>
      <c r="N84" s="745"/>
    </row>
    <row r="85" spans="1:14" s="29" customFormat="1">
      <c r="A85" s="737"/>
      <c r="B85" s="737"/>
      <c r="C85" s="738"/>
      <c r="D85" s="737"/>
      <c r="E85" s="737"/>
      <c r="F85" s="737"/>
      <c r="G85" s="737"/>
      <c r="H85" s="737"/>
      <c r="I85" s="737"/>
      <c r="J85" s="737"/>
      <c r="K85" s="737"/>
      <c r="L85" s="737"/>
      <c r="M85" s="737"/>
      <c r="N85" s="745"/>
    </row>
    <row r="86" spans="1:14" s="29" customFormat="1">
      <c r="A86" s="737"/>
      <c r="B86" s="737"/>
      <c r="C86" s="738"/>
      <c r="D86" s="737"/>
      <c r="E86" s="737"/>
      <c r="F86" s="737"/>
      <c r="G86" s="737"/>
      <c r="H86" s="737"/>
      <c r="I86" s="737"/>
      <c r="J86" s="737"/>
      <c r="K86" s="737"/>
      <c r="L86" s="737"/>
      <c r="M86" s="737"/>
      <c r="N86" s="745"/>
    </row>
    <row r="87" spans="1:14" s="29" customFormat="1">
      <c r="A87" s="737"/>
      <c r="B87" s="737"/>
      <c r="C87" s="738"/>
      <c r="D87" s="737"/>
      <c r="E87" s="737"/>
      <c r="F87" s="737"/>
      <c r="G87" s="737"/>
      <c r="H87" s="737"/>
      <c r="I87" s="737"/>
      <c r="J87" s="737"/>
      <c r="K87" s="737"/>
      <c r="L87" s="737"/>
      <c r="M87" s="737"/>
      <c r="N87" s="745"/>
    </row>
    <row r="88" spans="1:14" s="29" customFormat="1">
      <c r="A88" s="737"/>
      <c r="B88" s="737"/>
      <c r="C88" s="738"/>
      <c r="D88" s="737"/>
      <c r="E88" s="737"/>
      <c r="F88" s="737"/>
      <c r="G88" s="737"/>
      <c r="H88" s="737"/>
      <c r="I88" s="737"/>
      <c r="J88" s="737"/>
      <c r="K88" s="737"/>
      <c r="L88" s="737"/>
      <c r="M88" s="737"/>
      <c r="N88" s="745"/>
    </row>
    <row r="89" spans="1:14" s="29" customFormat="1">
      <c r="A89" s="737"/>
      <c r="B89" s="737"/>
      <c r="C89" s="738"/>
      <c r="D89" s="737"/>
      <c r="E89" s="737"/>
      <c r="F89" s="737"/>
      <c r="G89" s="737"/>
      <c r="H89" s="737"/>
      <c r="I89" s="737"/>
      <c r="J89" s="737"/>
      <c r="K89" s="737"/>
      <c r="L89" s="737"/>
      <c r="M89" s="737"/>
      <c r="N89" s="745"/>
    </row>
    <row r="90" spans="1:14" s="29" customFormat="1">
      <c r="A90" s="737"/>
      <c r="B90" s="737"/>
      <c r="C90" s="738"/>
      <c r="D90" s="737"/>
      <c r="E90" s="737"/>
      <c r="F90" s="737"/>
      <c r="G90" s="737"/>
      <c r="H90" s="737"/>
      <c r="I90" s="737"/>
      <c r="J90" s="737"/>
      <c r="K90" s="737"/>
      <c r="L90" s="737"/>
      <c r="M90" s="737"/>
      <c r="N90" s="745"/>
    </row>
    <row r="91" spans="1:14" s="29" customFormat="1">
      <c r="A91" s="737"/>
      <c r="B91" s="737"/>
      <c r="C91" s="738"/>
      <c r="D91" s="737"/>
      <c r="E91" s="737"/>
      <c r="F91" s="737"/>
      <c r="G91" s="737"/>
      <c r="H91" s="737"/>
      <c r="I91" s="737"/>
      <c r="J91" s="737"/>
      <c r="K91" s="737"/>
      <c r="L91" s="737"/>
      <c r="M91" s="737"/>
      <c r="N91" s="745"/>
    </row>
    <row r="92" spans="1:14" s="29" customFormat="1">
      <c r="A92" s="737"/>
      <c r="B92" s="737"/>
      <c r="C92" s="738"/>
      <c r="D92" s="737"/>
      <c r="E92" s="737"/>
      <c r="F92" s="737"/>
      <c r="G92" s="737"/>
      <c r="H92" s="737"/>
      <c r="I92" s="737"/>
      <c r="J92" s="737"/>
      <c r="K92" s="737"/>
      <c r="L92" s="737"/>
      <c r="M92" s="737"/>
      <c r="N92" s="745"/>
    </row>
    <row r="93" spans="1:14" s="370" customFormat="1">
      <c r="A93" s="31"/>
      <c r="B93" s="31"/>
      <c r="C93" s="32"/>
      <c r="D93" s="31"/>
      <c r="E93" s="31"/>
      <c r="F93" s="31"/>
      <c r="G93" s="31"/>
      <c r="H93" s="31"/>
      <c r="I93" s="31"/>
      <c r="J93" s="31"/>
      <c r="K93" s="31"/>
      <c r="L93" s="31"/>
      <c r="M93" s="31"/>
      <c r="N93" s="536"/>
    </row>
    <row r="94" spans="1:14" s="370" customFormat="1">
      <c r="A94" s="31"/>
      <c r="B94" s="31"/>
      <c r="C94" s="32"/>
      <c r="D94" s="31"/>
      <c r="E94" s="31"/>
      <c r="F94" s="31"/>
      <c r="G94" s="31"/>
      <c r="H94" s="31"/>
      <c r="I94" s="31"/>
      <c r="J94" s="31"/>
      <c r="K94" s="31"/>
      <c r="L94" s="31"/>
      <c r="M94" s="31"/>
      <c r="N94" s="536"/>
    </row>
    <row r="95" spans="1:14" s="370" customFormat="1">
      <c r="A95" s="31"/>
      <c r="B95" s="31"/>
      <c r="C95" s="32"/>
      <c r="D95" s="31"/>
      <c r="E95" s="31"/>
      <c r="F95" s="31"/>
      <c r="G95" s="31"/>
      <c r="H95" s="31"/>
      <c r="I95" s="31"/>
      <c r="J95" s="31"/>
      <c r="K95" s="31"/>
      <c r="L95" s="31"/>
      <c r="M95" s="31"/>
      <c r="N95" s="536"/>
    </row>
    <row r="96" spans="1:14" s="370" customFormat="1">
      <c r="A96" s="31"/>
      <c r="B96" s="31"/>
      <c r="C96" s="32"/>
      <c r="D96" s="31"/>
      <c r="E96" s="31"/>
      <c r="F96" s="31"/>
      <c r="G96" s="31"/>
      <c r="H96" s="31"/>
      <c r="I96" s="31"/>
      <c r="J96" s="31"/>
      <c r="K96" s="31"/>
      <c r="L96" s="31"/>
      <c r="M96" s="31"/>
      <c r="N96" s="536"/>
    </row>
    <row r="97" spans="1:14" s="370" customFormat="1">
      <c r="A97" s="31"/>
      <c r="B97" s="31"/>
      <c r="C97" s="32"/>
      <c r="D97" s="31"/>
      <c r="E97" s="31"/>
      <c r="F97" s="31"/>
      <c r="G97" s="31"/>
      <c r="H97" s="31"/>
      <c r="I97" s="31"/>
      <c r="J97" s="31"/>
      <c r="K97" s="31"/>
      <c r="L97" s="31"/>
      <c r="M97" s="31"/>
      <c r="N97" s="536"/>
    </row>
    <row r="98" spans="1:14" s="370" customFormat="1">
      <c r="A98" s="31"/>
      <c r="B98" s="31"/>
      <c r="C98" s="32"/>
      <c r="D98" s="31"/>
      <c r="E98" s="31"/>
      <c r="F98" s="31"/>
      <c r="G98" s="31"/>
      <c r="H98" s="31"/>
      <c r="I98" s="31"/>
      <c r="J98" s="31"/>
      <c r="K98" s="31"/>
      <c r="L98" s="31"/>
      <c r="M98" s="31"/>
      <c r="N98" s="536"/>
    </row>
    <row r="99" spans="1:14" s="370" customFormat="1">
      <c r="A99" s="31"/>
      <c r="B99" s="31"/>
      <c r="C99" s="32"/>
      <c r="D99" s="31"/>
      <c r="E99" s="31"/>
      <c r="F99" s="31"/>
      <c r="G99" s="31"/>
      <c r="H99" s="31"/>
      <c r="I99" s="31"/>
      <c r="J99" s="31"/>
      <c r="K99" s="31"/>
      <c r="L99" s="31"/>
      <c r="M99" s="31"/>
      <c r="N99" s="536"/>
    </row>
    <row r="100" spans="1:14" s="370" customFormat="1">
      <c r="A100" s="31"/>
      <c r="B100" s="31"/>
      <c r="C100" s="32"/>
      <c r="D100" s="31"/>
      <c r="E100" s="31"/>
      <c r="F100" s="31"/>
      <c r="G100" s="31"/>
      <c r="H100" s="31"/>
      <c r="I100" s="31"/>
      <c r="J100" s="31"/>
      <c r="K100" s="31"/>
      <c r="L100" s="31"/>
      <c r="M100" s="31"/>
      <c r="N100" s="536"/>
    </row>
    <row r="101" spans="1:14" s="370" customFormat="1">
      <c r="A101" s="31"/>
      <c r="B101" s="31"/>
      <c r="C101" s="32"/>
      <c r="D101" s="31"/>
      <c r="E101" s="31"/>
      <c r="F101" s="31"/>
      <c r="G101" s="31"/>
      <c r="H101" s="31"/>
      <c r="I101" s="31"/>
      <c r="J101" s="31"/>
      <c r="K101" s="31"/>
      <c r="L101" s="31"/>
      <c r="M101" s="31"/>
      <c r="N101" s="536"/>
    </row>
    <row r="102" spans="1:14" s="370" customFormat="1">
      <c r="A102" s="31"/>
      <c r="B102" s="31"/>
      <c r="C102" s="32"/>
      <c r="D102" s="31"/>
      <c r="E102" s="31"/>
      <c r="F102" s="31"/>
      <c r="G102" s="31"/>
      <c r="H102" s="31"/>
      <c r="I102" s="31"/>
      <c r="J102" s="31"/>
      <c r="K102" s="31"/>
      <c r="L102" s="31"/>
      <c r="M102" s="31"/>
      <c r="N102" s="536"/>
    </row>
  </sheetData>
  <mergeCells count="21">
    <mergeCell ref="C57:G57"/>
    <mergeCell ref="C60:G60"/>
    <mergeCell ref="A79:F79"/>
    <mergeCell ref="A81:F81"/>
    <mergeCell ref="A82:F82"/>
    <mergeCell ref="A70:F70"/>
    <mergeCell ref="A72:D72"/>
    <mergeCell ref="A73:F73"/>
    <mergeCell ref="A77:F77"/>
    <mergeCell ref="A78:F78"/>
    <mergeCell ref="A62:F62"/>
    <mergeCell ref="A63:F63"/>
    <mergeCell ref="A66:F66"/>
    <mergeCell ref="A68:F68"/>
    <mergeCell ref="A69:F69"/>
    <mergeCell ref="A1:N1"/>
    <mergeCell ref="A52:C52"/>
    <mergeCell ref="A54:F54"/>
    <mergeCell ref="A55:F55"/>
    <mergeCell ref="A56:B56"/>
    <mergeCell ref="A53:C53"/>
  </mergeCells>
  <printOptions horizontalCentered="1"/>
  <pageMargins left="0.2" right="0.2" top="0.75" bottom="0.75" header="0.3" footer="0.3"/>
  <pageSetup scale="68" fitToHeight="0" orientation="landscape" r:id="rId1"/>
  <headerFooter>
    <oddHeader xml:space="preserve">&amp;CDRAFT NOT FOR DISTRIBUTION, INTERNAL USE ONLY
</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2" tint="-0.249977111117893"/>
    <pageSetUpPr fitToPage="1"/>
  </sheetPr>
  <dimension ref="A1:N90"/>
  <sheetViews>
    <sheetView zoomScaleNormal="100" workbookViewId="0">
      <selection sqref="A1:N1"/>
    </sheetView>
  </sheetViews>
  <sheetFormatPr defaultRowHeight="14.5"/>
  <cols>
    <col min="1" max="1" width="39.54296875" customWidth="1"/>
    <col min="2" max="2" width="16"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23.453125" customWidth="1"/>
  </cols>
  <sheetData>
    <row r="1" spans="1:14" ht="15.5">
      <c r="A1" s="854" t="s">
        <v>165</v>
      </c>
      <c r="B1" s="854"/>
      <c r="C1" s="854"/>
      <c r="D1" s="854"/>
      <c r="E1" s="854"/>
      <c r="F1" s="854"/>
      <c r="G1" s="854"/>
      <c r="H1" s="854"/>
      <c r="I1" s="854"/>
      <c r="J1" s="854"/>
      <c r="K1" s="854"/>
      <c r="L1" s="854"/>
      <c r="M1" s="854"/>
      <c r="N1" s="854"/>
    </row>
    <row r="2" spans="1:14">
      <c r="A2" s="702" t="s">
        <v>775</v>
      </c>
      <c r="B2" s="370"/>
      <c r="C2" s="639"/>
      <c r="D2" s="370"/>
      <c r="E2" s="370"/>
      <c r="F2" s="370"/>
      <c r="G2" s="370"/>
      <c r="H2" s="370"/>
      <c r="I2" s="370"/>
      <c r="J2" s="370"/>
      <c r="K2" s="370"/>
      <c r="L2" s="370"/>
      <c r="M2" s="370"/>
      <c r="N2" s="370"/>
    </row>
    <row r="3" spans="1:14">
      <c r="A3" s="506" t="s">
        <v>814</v>
      </c>
      <c r="B3" s="370"/>
      <c r="C3" s="639"/>
      <c r="D3" s="370"/>
      <c r="E3" s="370"/>
      <c r="F3" s="451" t="s">
        <v>210</v>
      </c>
      <c r="G3" s="370"/>
      <c r="H3" s="370"/>
      <c r="I3" s="370"/>
      <c r="J3" s="370"/>
      <c r="K3" s="370"/>
      <c r="L3" s="370"/>
      <c r="M3" s="370"/>
      <c r="N3" s="370"/>
    </row>
    <row r="4" spans="1:14">
      <c r="A4" s="506" t="s">
        <v>1295</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f>SUM(G7:M7)</f>
        <v>0</v>
      </c>
      <c r="G7" s="304">
        <v>0</v>
      </c>
      <c r="H7" s="304">
        <v>0</v>
      </c>
      <c r="I7" s="304">
        <v>0</v>
      </c>
      <c r="J7" s="304">
        <v>0</v>
      </c>
      <c r="K7" s="304">
        <v>0</v>
      </c>
      <c r="L7" s="304">
        <v>0</v>
      </c>
      <c r="M7" s="305">
        <v>0</v>
      </c>
      <c r="N7" s="34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N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43">
        <f t="shared" si="1"/>
        <v>0</v>
      </c>
    </row>
    <row r="17" spans="1:14">
      <c r="A17" s="67" t="s">
        <v>220</v>
      </c>
      <c r="B17" s="68"/>
      <c r="C17" s="69"/>
      <c r="D17" s="68"/>
      <c r="E17" s="68"/>
      <c r="F17" s="70"/>
      <c r="G17" s="70"/>
      <c r="H17" s="70"/>
      <c r="I17" s="70"/>
      <c r="J17" s="70"/>
      <c r="K17" s="70"/>
      <c r="L17" s="70"/>
      <c r="M17" s="70"/>
      <c r="N17" s="70"/>
    </row>
    <row r="18" spans="1:14">
      <c r="A18" s="259" t="s">
        <v>278</v>
      </c>
      <c r="B18" s="259"/>
      <c r="C18" s="44">
        <v>253</v>
      </c>
      <c r="D18" s="45"/>
      <c r="E18" s="258">
        <v>0</v>
      </c>
      <c r="F18" s="350">
        <f>SUM(G18:M18)</f>
        <v>0</v>
      </c>
      <c r="G18" s="304">
        <v>0</v>
      </c>
      <c r="H18" s="304">
        <v>0</v>
      </c>
      <c r="I18" s="304">
        <v>0</v>
      </c>
      <c r="J18" s="304">
        <v>0</v>
      </c>
      <c r="K18" s="304">
        <v>0</v>
      </c>
      <c r="L18" s="304">
        <v>0</v>
      </c>
      <c r="M18" s="305">
        <v>0</v>
      </c>
      <c r="N18" s="320"/>
    </row>
    <row r="19" spans="1:14">
      <c r="A19" s="259" t="s">
        <v>278</v>
      </c>
      <c r="B19" s="259"/>
      <c r="C19" s="44">
        <v>253</v>
      </c>
      <c r="D19" s="45"/>
      <c r="E19" s="258">
        <v>0</v>
      </c>
      <c r="F19" s="350">
        <f>SUM(G19:M19)</f>
        <v>0</v>
      </c>
      <c r="G19" s="304">
        <v>0</v>
      </c>
      <c r="H19" s="304">
        <v>0</v>
      </c>
      <c r="I19" s="304">
        <v>0</v>
      </c>
      <c r="J19" s="304">
        <v>0</v>
      </c>
      <c r="K19" s="304">
        <v>0</v>
      </c>
      <c r="L19" s="304">
        <v>0</v>
      </c>
      <c r="M19" s="305">
        <v>0</v>
      </c>
      <c r="N19" s="319"/>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7"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48"/>
    </row>
    <row r="23" spans="1:14" s="7" customFormat="1">
      <c r="A23" s="67" t="s">
        <v>226</v>
      </c>
      <c r="B23" s="68"/>
      <c r="C23" s="69"/>
      <c r="D23" s="68"/>
      <c r="E23" s="68"/>
      <c r="F23" s="70"/>
      <c r="G23" s="70"/>
      <c r="H23" s="70"/>
      <c r="I23" s="70"/>
      <c r="J23" s="70"/>
      <c r="K23" s="70"/>
      <c r="L23" s="70"/>
      <c r="M23" s="70"/>
      <c r="N23" s="70"/>
    </row>
    <row r="24" spans="1:14" ht="15" customHeight="1">
      <c r="A24" s="259" t="s">
        <v>227</v>
      </c>
      <c r="B24" s="36"/>
      <c r="C24" s="37" t="s">
        <v>228</v>
      </c>
      <c r="D24" s="38">
        <v>0</v>
      </c>
      <c r="E24" s="258">
        <v>0</v>
      </c>
      <c r="F24" s="303">
        <f t="shared" ref="F24:F35" si="3">SUM(G24:M24)</f>
        <v>0</v>
      </c>
      <c r="G24" s="304">
        <v>0</v>
      </c>
      <c r="H24" s="304">
        <v>0</v>
      </c>
      <c r="I24" s="304">
        <v>0</v>
      </c>
      <c r="J24" s="304">
        <v>0</v>
      </c>
      <c r="K24" s="304">
        <v>0</v>
      </c>
      <c r="L24" s="304">
        <v>0</v>
      </c>
      <c r="M24" s="305">
        <v>0</v>
      </c>
      <c r="N24" s="318"/>
    </row>
    <row r="25" spans="1:14">
      <c r="A25" s="259" t="s">
        <v>229</v>
      </c>
      <c r="B25" s="36"/>
      <c r="C25" s="44" t="s">
        <v>230</v>
      </c>
      <c r="D25" s="45"/>
      <c r="E25" s="258">
        <v>0</v>
      </c>
      <c r="F25" s="303">
        <f t="shared" si="3"/>
        <v>0</v>
      </c>
      <c r="G25" s="304">
        <v>0</v>
      </c>
      <c r="H25" s="304">
        <v>0</v>
      </c>
      <c r="I25" s="304">
        <v>0</v>
      </c>
      <c r="J25" s="304">
        <v>0</v>
      </c>
      <c r="K25" s="304">
        <v>0</v>
      </c>
      <c r="L25" s="304">
        <v>0</v>
      </c>
      <c r="M25" s="305">
        <v>0</v>
      </c>
      <c r="N25" s="348"/>
    </row>
    <row r="26" spans="1:14">
      <c r="A26" s="259" t="s">
        <v>231</v>
      </c>
      <c r="B26" s="36"/>
      <c r="C26" s="44" t="s">
        <v>232</v>
      </c>
      <c r="D26" s="45"/>
      <c r="E26" s="258">
        <v>0</v>
      </c>
      <c r="F26" s="303">
        <f t="shared" si="3"/>
        <v>0</v>
      </c>
      <c r="G26" s="304">
        <v>0</v>
      </c>
      <c r="H26" s="304">
        <v>0</v>
      </c>
      <c r="I26" s="304">
        <v>0</v>
      </c>
      <c r="J26" s="304">
        <v>0</v>
      </c>
      <c r="K26" s="304">
        <v>0</v>
      </c>
      <c r="L26" s="304">
        <v>0</v>
      </c>
      <c r="M26" s="305">
        <v>0</v>
      </c>
      <c r="N26" s="348"/>
    </row>
    <row r="27" spans="1:14">
      <c r="A27" s="259" t="s">
        <v>233</v>
      </c>
      <c r="B27" s="36"/>
      <c r="C27" s="44" t="s">
        <v>234</v>
      </c>
      <c r="D27" s="45"/>
      <c r="E27" s="258">
        <v>0</v>
      </c>
      <c r="F27" s="303">
        <f t="shared" si="3"/>
        <v>0</v>
      </c>
      <c r="G27" s="304">
        <v>0</v>
      </c>
      <c r="H27" s="304">
        <v>0</v>
      </c>
      <c r="I27" s="304">
        <v>0</v>
      </c>
      <c r="J27" s="304">
        <v>0</v>
      </c>
      <c r="K27" s="304">
        <v>0</v>
      </c>
      <c r="L27" s="304">
        <v>0</v>
      </c>
      <c r="M27" s="305">
        <v>0</v>
      </c>
      <c r="N27" s="348"/>
    </row>
    <row r="28" spans="1:14" ht="50.5" customHeight="1">
      <c r="A28" s="259" t="s">
        <v>235</v>
      </c>
      <c r="B28" s="36"/>
      <c r="C28" s="44">
        <v>251</v>
      </c>
      <c r="D28" s="45"/>
      <c r="E28" s="258">
        <v>30</v>
      </c>
      <c r="F28" s="303">
        <f t="shared" si="3"/>
        <v>31</v>
      </c>
      <c r="G28" s="304">
        <v>0</v>
      </c>
      <c r="H28" s="304">
        <v>31</v>
      </c>
      <c r="I28" s="304">
        <v>0</v>
      </c>
      <c r="J28" s="304">
        <v>0</v>
      </c>
      <c r="K28" s="304">
        <v>0</v>
      </c>
      <c r="L28" s="304">
        <v>0</v>
      </c>
      <c r="M28" s="305">
        <v>0</v>
      </c>
      <c r="N28" s="538" t="s">
        <v>1097</v>
      </c>
    </row>
    <row r="29" spans="1:14">
      <c r="A29" s="259" t="s">
        <v>242</v>
      </c>
      <c r="B29" s="36"/>
      <c r="C29" s="44">
        <v>252</v>
      </c>
      <c r="D29" s="45"/>
      <c r="E29" s="258">
        <v>0</v>
      </c>
      <c r="F29" s="303">
        <f t="shared" si="3"/>
        <v>0</v>
      </c>
      <c r="G29" s="304">
        <v>0</v>
      </c>
      <c r="H29" s="372">
        <v>0</v>
      </c>
      <c r="I29" s="304">
        <v>0</v>
      </c>
      <c r="J29" s="304">
        <v>0</v>
      </c>
      <c r="K29" s="304">
        <v>0</v>
      </c>
      <c r="L29" s="304">
        <v>0</v>
      </c>
      <c r="M29" s="305">
        <v>0</v>
      </c>
      <c r="N29" s="348" t="s">
        <v>507</v>
      </c>
    </row>
    <row r="30" spans="1:14">
      <c r="A30" s="259" t="s">
        <v>243</v>
      </c>
      <c r="B30" s="36"/>
      <c r="C30" s="44">
        <v>252</v>
      </c>
      <c r="D30" s="45"/>
      <c r="E30" s="258">
        <v>0</v>
      </c>
      <c r="F30" s="303">
        <f t="shared" si="3"/>
        <v>0</v>
      </c>
      <c r="G30" s="304">
        <v>0</v>
      </c>
      <c r="H30" s="372">
        <v>0</v>
      </c>
      <c r="I30" s="304">
        <v>0</v>
      </c>
      <c r="J30" s="304">
        <v>0</v>
      </c>
      <c r="K30" s="304">
        <v>0</v>
      </c>
      <c r="L30" s="304">
        <v>0</v>
      </c>
      <c r="M30" s="305">
        <v>0</v>
      </c>
      <c r="N30" s="348"/>
    </row>
    <row r="31" spans="1:14">
      <c r="A31" s="259" t="s">
        <v>244</v>
      </c>
      <c r="B31" s="36"/>
      <c r="C31" s="44">
        <v>253</v>
      </c>
      <c r="D31" s="259"/>
      <c r="E31" s="258">
        <v>0</v>
      </c>
      <c r="F31" s="303">
        <f t="shared" si="3"/>
        <v>0</v>
      </c>
      <c r="G31" s="304">
        <v>0</v>
      </c>
      <c r="H31" s="372">
        <v>0</v>
      </c>
      <c r="I31" s="304">
        <v>0</v>
      </c>
      <c r="J31" s="304">
        <v>0</v>
      </c>
      <c r="K31" s="304">
        <v>0</v>
      </c>
      <c r="L31" s="304">
        <v>0</v>
      </c>
      <c r="M31" s="305">
        <v>0</v>
      </c>
      <c r="N31" s="348"/>
    </row>
    <row r="32" spans="1:14">
      <c r="A32" s="259" t="s">
        <v>245</v>
      </c>
      <c r="B32" s="36"/>
      <c r="C32" s="44">
        <v>255</v>
      </c>
      <c r="D32" s="259"/>
      <c r="E32" s="258">
        <v>0</v>
      </c>
      <c r="F32" s="303">
        <f t="shared" si="3"/>
        <v>0</v>
      </c>
      <c r="G32" s="304">
        <v>0</v>
      </c>
      <c r="H32" s="372">
        <v>0</v>
      </c>
      <c r="I32" s="304">
        <v>0</v>
      </c>
      <c r="J32" s="304">
        <v>0</v>
      </c>
      <c r="K32" s="304">
        <v>0</v>
      </c>
      <c r="L32" s="304">
        <v>0</v>
      </c>
      <c r="M32" s="305">
        <v>0</v>
      </c>
      <c r="N32" s="348"/>
    </row>
    <row r="33" spans="1:14">
      <c r="A33" s="259" t="s">
        <v>246</v>
      </c>
      <c r="B33" s="36"/>
      <c r="C33" s="44">
        <v>256</v>
      </c>
      <c r="D33" s="259"/>
      <c r="E33" s="258">
        <v>0</v>
      </c>
      <c r="F33" s="303">
        <f t="shared" si="3"/>
        <v>0</v>
      </c>
      <c r="G33" s="304">
        <v>0</v>
      </c>
      <c r="H33" s="372">
        <v>0</v>
      </c>
      <c r="I33" s="304">
        <v>0</v>
      </c>
      <c r="J33" s="304">
        <v>0</v>
      </c>
      <c r="K33" s="304">
        <v>0</v>
      </c>
      <c r="L33" s="304">
        <v>0</v>
      </c>
      <c r="M33" s="305">
        <v>0</v>
      </c>
      <c r="N33" s="348"/>
    </row>
    <row r="34" spans="1:14" ht="43.5">
      <c r="A34" s="259" t="s">
        <v>247</v>
      </c>
      <c r="B34" s="36"/>
      <c r="C34" s="44">
        <v>257</v>
      </c>
      <c r="D34" s="259"/>
      <c r="E34" s="258">
        <v>14</v>
      </c>
      <c r="F34" s="303">
        <f t="shared" si="3"/>
        <v>14</v>
      </c>
      <c r="G34" s="304">
        <v>0</v>
      </c>
      <c r="H34" s="304">
        <v>14</v>
      </c>
      <c r="I34" s="304">
        <v>0</v>
      </c>
      <c r="J34" s="304">
        <v>0</v>
      </c>
      <c r="K34" s="304">
        <v>0</v>
      </c>
      <c r="L34" s="304">
        <v>0</v>
      </c>
      <c r="M34" s="305">
        <v>0</v>
      </c>
      <c r="N34" s="538" t="s">
        <v>875</v>
      </c>
    </row>
    <row r="35" spans="1:14">
      <c r="A35" s="259" t="s">
        <v>248</v>
      </c>
      <c r="B35" s="36"/>
      <c r="C35" s="44" t="s">
        <v>249</v>
      </c>
      <c r="D35" s="259"/>
      <c r="E35" s="258">
        <v>0</v>
      </c>
      <c r="F35" s="303">
        <f t="shared" si="3"/>
        <v>0</v>
      </c>
      <c r="G35" s="304">
        <v>0</v>
      </c>
      <c r="H35" s="304">
        <v>0</v>
      </c>
      <c r="I35" s="304">
        <v>0</v>
      </c>
      <c r="J35" s="304">
        <v>0</v>
      </c>
      <c r="K35" s="304">
        <v>0</v>
      </c>
      <c r="L35" s="304">
        <v>0</v>
      </c>
      <c r="M35" s="305">
        <v>0</v>
      </c>
      <c r="N35" s="348"/>
    </row>
    <row r="36" spans="1:14" s="370" customFormat="1">
      <c r="A36" s="260" t="s">
        <v>250</v>
      </c>
      <c r="B36" s="36"/>
      <c r="C36" s="261" t="s">
        <v>251</v>
      </c>
      <c r="D36" s="260"/>
      <c r="E36" s="258">
        <v>0</v>
      </c>
      <c r="F36" s="303">
        <f>SUM(G36:M36)</f>
        <v>0</v>
      </c>
      <c r="G36" s="304">
        <v>0</v>
      </c>
      <c r="H36" s="304">
        <v>0</v>
      </c>
      <c r="I36" s="304">
        <v>0</v>
      </c>
      <c r="J36" s="304">
        <v>0</v>
      </c>
      <c r="K36" s="304">
        <v>0</v>
      </c>
      <c r="L36" s="304">
        <v>0</v>
      </c>
      <c r="M36" s="305">
        <v>0</v>
      </c>
      <c r="N36" s="348"/>
    </row>
    <row r="37" spans="1:14">
      <c r="A37" s="260" t="s">
        <v>252</v>
      </c>
      <c r="B37" s="378"/>
      <c r="C37" s="261" t="s">
        <v>253</v>
      </c>
      <c r="D37" s="260"/>
      <c r="E37" s="311">
        <v>0</v>
      </c>
      <c r="F37" s="303">
        <f>SUM(G37:M37)</f>
        <v>0</v>
      </c>
      <c r="G37" s="163">
        <v>0</v>
      </c>
      <c r="H37" s="163">
        <v>0</v>
      </c>
      <c r="I37" s="163">
        <v>0</v>
      </c>
      <c r="J37" s="163">
        <v>0</v>
      </c>
      <c r="K37" s="163">
        <v>0</v>
      </c>
      <c r="L37" s="163">
        <v>0</v>
      </c>
      <c r="M37" s="164">
        <v>0</v>
      </c>
      <c r="N37" s="318"/>
    </row>
    <row r="38" spans="1:14">
      <c r="A38" s="40" t="s">
        <v>254</v>
      </c>
      <c r="B38" s="260"/>
      <c r="C38" s="261"/>
      <c r="D38" s="262"/>
      <c r="E38" s="42">
        <f t="shared" ref="E38:M38" si="4">SUM(E24:E37)</f>
        <v>44</v>
      </c>
      <c r="F38" s="43">
        <f t="shared" si="4"/>
        <v>45</v>
      </c>
      <c r="G38" s="43">
        <f t="shared" si="4"/>
        <v>0</v>
      </c>
      <c r="H38" s="43">
        <f t="shared" si="4"/>
        <v>45</v>
      </c>
      <c r="I38" s="43">
        <f t="shared" si="4"/>
        <v>0</v>
      </c>
      <c r="J38" s="43">
        <f t="shared" si="4"/>
        <v>0</v>
      </c>
      <c r="K38" s="43">
        <f t="shared" si="4"/>
        <v>0</v>
      </c>
      <c r="L38" s="43">
        <f t="shared" si="4"/>
        <v>0</v>
      </c>
      <c r="M38" s="43">
        <f t="shared" si="4"/>
        <v>0</v>
      </c>
      <c r="N38" s="348"/>
    </row>
    <row r="39" spans="1:14" s="149" customFormat="1">
      <c r="A39" s="40" t="s">
        <v>255</v>
      </c>
      <c r="B39" s="51"/>
      <c r="C39" s="147"/>
      <c r="D39" s="262"/>
      <c r="E39" s="236"/>
      <c r="F39" s="235">
        <f>SUM(G39:L39)</f>
        <v>0</v>
      </c>
      <c r="G39" s="235"/>
      <c r="H39" s="235"/>
      <c r="I39" s="235"/>
      <c r="J39" s="235"/>
      <c r="K39" s="235"/>
      <c r="L39" s="235"/>
      <c r="M39" s="235"/>
      <c r="N39" s="348"/>
    </row>
    <row r="40" spans="1:14">
      <c r="A40" s="40" t="s">
        <v>256</v>
      </c>
      <c r="B40" s="46"/>
      <c r="C40" s="47"/>
      <c r="D40" s="48">
        <f>D38+D22+D16</f>
        <v>0</v>
      </c>
      <c r="E40" s="42">
        <f>E38+E22+E16-E39</f>
        <v>44</v>
      </c>
      <c r="F40" s="17">
        <f t="shared" ref="F40:M40" si="5">F38+F22+F16-F39</f>
        <v>45</v>
      </c>
      <c r="G40" s="17">
        <f t="shared" si="5"/>
        <v>0</v>
      </c>
      <c r="H40" s="17">
        <f t="shared" si="5"/>
        <v>45</v>
      </c>
      <c r="I40" s="17">
        <f t="shared" si="5"/>
        <v>0</v>
      </c>
      <c r="J40" s="17">
        <f t="shared" si="5"/>
        <v>0</v>
      </c>
      <c r="K40" s="17">
        <f t="shared" si="5"/>
        <v>0</v>
      </c>
      <c r="L40" s="17">
        <f t="shared" si="5"/>
        <v>0</v>
      </c>
      <c r="M40" s="17">
        <f t="shared" si="5"/>
        <v>0</v>
      </c>
      <c r="N40" s="346"/>
    </row>
    <row r="43" spans="1:14" s="293" customFormat="1" ht="15" thickBot="1">
      <c r="A43" s="671"/>
      <c r="B43" s="671"/>
      <c r="C43" s="672"/>
      <c r="D43" s="671"/>
      <c r="E43" s="671"/>
      <c r="F43" s="671"/>
      <c r="G43" s="671"/>
      <c r="H43" s="671"/>
      <c r="I43" s="671"/>
      <c r="J43" s="671"/>
      <c r="K43" s="671"/>
      <c r="L43" s="671"/>
      <c r="M43" s="671"/>
      <c r="N43" s="673"/>
    </row>
    <row r="44" spans="1:14" s="293" customFormat="1" ht="15.5">
      <c r="A44" s="1062" t="s">
        <v>257</v>
      </c>
      <c r="B44" s="1063"/>
      <c r="C44" s="1063"/>
      <c r="D44" s="1063"/>
      <c r="E44" s="1063"/>
      <c r="F44" s="1063"/>
      <c r="G44" s="674"/>
      <c r="H44" s="671"/>
      <c r="I44" s="671"/>
      <c r="J44" s="671"/>
      <c r="K44" s="671"/>
      <c r="L44" s="671"/>
      <c r="M44" s="671"/>
      <c r="N44" s="673"/>
    </row>
    <row r="45" spans="1:14" s="293" customFormat="1" ht="15.5">
      <c r="A45" s="1064"/>
      <c r="B45" s="1065"/>
      <c r="C45" s="1065"/>
      <c r="D45" s="1065"/>
      <c r="E45" s="1065"/>
      <c r="F45" s="1065"/>
      <c r="G45" s="675"/>
      <c r="H45" s="671"/>
      <c r="I45" s="671"/>
      <c r="J45" s="671"/>
      <c r="K45" s="671"/>
      <c r="L45" s="671"/>
      <c r="M45" s="671"/>
      <c r="N45" s="673"/>
    </row>
    <row r="46" spans="1:14" s="293" customFormat="1">
      <c r="A46" s="1066" t="s">
        <v>258</v>
      </c>
      <c r="B46" s="1067"/>
      <c r="C46" s="676"/>
      <c r="D46" s="676"/>
      <c r="E46" s="676"/>
      <c r="F46" s="676"/>
      <c r="G46" s="675"/>
      <c r="H46" s="671"/>
      <c r="I46" s="671"/>
      <c r="J46" s="671"/>
      <c r="K46" s="671"/>
      <c r="L46" s="671"/>
      <c r="M46" s="671"/>
      <c r="N46" s="673"/>
    </row>
    <row r="47" spans="1:14" s="293" customFormat="1">
      <c r="A47" s="677" t="s">
        <v>1028</v>
      </c>
      <c r="B47" s="678">
        <f>E40</f>
        <v>44</v>
      </c>
      <c r="C47" s="679"/>
      <c r="D47" s="680"/>
      <c r="E47" s="680"/>
      <c r="F47" s="680"/>
      <c r="G47" s="675"/>
      <c r="H47" s="671"/>
      <c r="I47" s="671"/>
      <c r="J47" s="671"/>
      <c r="K47" s="671"/>
      <c r="L47" s="671"/>
      <c r="M47" s="671"/>
      <c r="N47" s="673"/>
    </row>
    <row r="48" spans="1:14" s="293" customFormat="1">
      <c r="A48" s="681" t="s">
        <v>1029</v>
      </c>
      <c r="B48" s="682">
        <f>F40</f>
        <v>45</v>
      </c>
      <c r="C48" s="679"/>
      <c r="D48" s="680"/>
      <c r="E48" s="680"/>
      <c r="F48" s="680"/>
      <c r="G48" s="675"/>
      <c r="H48" s="671"/>
      <c r="I48" s="671"/>
      <c r="J48" s="671"/>
      <c r="K48" s="671"/>
      <c r="L48" s="671"/>
      <c r="M48" s="671"/>
      <c r="N48" s="673"/>
    </row>
    <row r="49" spans="1:14" s="293" customFormat="1">
      <c r="A49" s="683" t="s">
        <v>259</v>
      </c>
      <c r="B49" s="684">
        <f>B48-B47</f>
        <v>1</v>
      </c>
      <c r="C49" s="679"/>
      <c r="D49" s="680"/>
      <c r="E49" s="680"/>
      <c r="F49" s="680"/>
      <c r="G49" s="675"/>
      <c r="H49" s="671"/>
      <c r="I49" s="671"/>
      <c r="J49" s="671"/>
      <c r="K49" s="671"/>
      <c r="L49" s="671"/>
      <c r="M49" s="671"/>
      <c r="N49" s="673"/>
    </row>
    <row r="50" spans="1:14" s="293" customFormat="1">
      <c r="A50" s="683" t="s">
        <v>260</v>
      </c>
      <c r="B50" s="685">
        <f>B49/B47</f>
        <v>2.2727272727272728E-2</v>
      </c>
      <c r="C50" s="679"/>
      <c r="D50" s="680"/>
      <c r="E50" s="680"/>
      <c r="F50" s="680"/>
      <c r="G50" s="675"/>
      <c r="H50" s="671"/>
      <c r="I50" s="671"/>
      <c r="J50" s="671"/>
      <c r="K50" s="671"/>
      <c r="L50" s="671"/>
      <c r="M50" s="671"/>
      <c r="N50" s="673"/>
    </row>
    <row r="51" spans="1:14" s="293" customFormat="1">
      <c r="A51" s="686"/>
      <c r="B51" s="680"/>
      <c r="C51" s="687"/>
      <c r="D51" s="680"/>
      <c r="E51" s="680"/>
      <c r="F51" s="680"/>
      <c r="G51" s="675"/>
      <c r="H51" s="671"/>
      <c r="I51" s="671"/>
      <c r="J51" s="671"/>
      <c r="K51" s="671"/>
      <c r="L51" s="671"/>
      <c r="M51" s="671"/>
      <c r="N51" s="673"/>
    </row>
    <row r="52" spans="1:14" s="293" customFormat="1">
      <c r="A52" s="1000" t="s">
        <v>261</v>
      </c>
      <c r="B52" s="1001"/>
      <c r="C52" s="1001"/>
      <c r="D52" s="1001"/>
      <c r="E52" s="1001"/>
      <c r="F52" s="1001"/>
      <c r="G52" s="675"/>
      <c r="H52" s="671"/>
      <c r="I52" s="671"/>
      <c r="J52" s="671"/>
      <c r="K52" s="671"/>
      <c r="L52" s="671"/>
      <c r="M52" s="671"/>
      <c r="N52" s="673"/>
    </row>
    <row r="53" spans="1:14" s="293" customFormat="1" ht="27" customHeight="1">
      <c r="A53" s="1002" t="s">
        <v>663</v>
      </c>
      <c r="B53" s="1003"/>
      <c r="C53" s="1003"/>
      <c r="D53" s="1003"/>
      <c r="E53" s="1003"/>
      <c r="F53" s="1004"/>
      <c r="G53" s="675"/>
      <c r="H53" s="671"/>
      <c r="I53" s="671"/>
      <c r="J53" s="671"/>
      <c r="K53" s="671"/>
      <c r="L53" s="671"/>
      <c r="M53" s="671"/>
      <c r="N53" s="673"/>
    </row>
    <row r="54" spans="1:14" s="293" customFormat="1">
      <c r="A54" s="688"/>
      <c r="B54" s="689"/>
      <c r="C54" s="689"/>
      <c r="D54" s="689"/>
      <c r="E54" s="689"/>
      <c r="F54" s="689"/>
      <c r="G54" s="675"/>
      <c r="H54" s="671"/>
      <c r="I54" s="671"/>
      <c r="J54" s="671"/>
      <c r="K54" s="671"/>
      <c r="L54" s="671"/>
      <c r="M54" s="671"/>
      <c r="N54" s="673"/>
    </row>
    <row r="55" spans="1:14" s="293" customFormat="1">
      <c r="A55" s="690" t="s">
        <v>262</v>
      </c>
      <c r="B55" s="680"/>
      <c r="C55" s="725"/>
      <c r="D55" s="680"/>
      <c r="E55" s="680"/>
      <c r="F55" s="680"/>
      <c r="G55" s="675"/>
      <c r="H55" s="671"/>
      <c r="I55" s="671"/>
      <c r="J55" s="671"/>
      <c r="K55" s="671"/>
      <c r="L55" s="671"/>
      <c r="M55" s="671"/>
      <c r="N55" s="673"/>
    </row>
    <row r="56" spans="1:14" s="293" customFormat="1" ht="53.25" customHeight="1">
      <c r="A56" s="1002" t="s">
        <v>664</v>
      </c>
      <c r="B56" s="1003"/>
      <c r="C56" s="1003"/>
      <c r="D56" s="1003"/>
      <c r="E56" s="1003"/>
      <c r="F56" s="1004"/>
      <c r="G56" s="675"/>
      <c r="H56" s="671"/>
      <c r="I56" s="671"/>
      <c r="J56" s="671"/>
      <c r="K56" s="671"/>
      <c r="L56" s="671"/>
      <c r="M56" s="671"/>
      <c r="N56" s="673"/>
    </row>
    <row r="57" spans="1:14" s="293" customFormat="1">
      <c r="A57" s="686"/>
      <c r="B57" s="680"/>
      <c r="C57" s="725"/>
      <c r="D57" s="680"/>
      <c r="E57" s="680"/>
      <c r="F57" s="680"/>
      <c r="G57" s="675"/>
      <c r="H57" s="671"/>
      <c r="I57" s="671"/>
      <c r="J57" s="671"/>
      <c r="K57" s="671"/>
      <c r="L57" s="671"/>
      <c r="M57" s="671"/>
      <c r="N57" s="673"/>
    </row>
    <row r="58" spans="1:14" s="293" customFormat="1">
      <c r="A58" s="1000" t="s">
        <v>1020</v>
      </c>
      <c r="B58" s="1001"/>
      <c r="C58" s="1001"/>
      <c r="D58" s="1001"/>
      <c r="E58" s="1001"/>
      <c r="F58" s="1001"/>
      <c r="G58" s="675"/>
      <c r="H58" s="671"/>
      <c r="I58" s="671"/>
      <c r="J58" s="671"/>
      <c r="K58" s="671"/>
      <c r="L58" s="671"/>
      <c r="M58" s="671"/>
      <c r="N58" s="673"/>
    </row>
    <row r="59" spans="1:14" s="293" customFormat="1">
      <c r="A59" s="1005" t="s">
        <v>1021</v>
      </c>
      <c r="B59" s="1006"/>
      <c r="C59" s="1006"/>
      <c r="D59" s="1006"/>
      <c r="E59" s="1006"/>
      <c r="F59" s="1006"/>
      <c r="G59" s="675"/>
      <c r="H59" s="671"/>
      <c r="I59" s="671"/>
      <c r="J59" s="671"/>
      <c r="K59" s="671"/>
      <c r="L59" s="671"/>
      <c r="M59" s="671"/>
      <c r="N59" s="673"/>
    </row>
    <row r="60" spans="1:14" s="293" customFormat="1" ht="27.5" customHeight="1">
      <c r="A60" s="1068" t="s">
        <v>776</v>
      </c>
      <c r="B60" s="1069"/>
      <c r="C60" s="1069"/>
      <c r="D60" s="1069"/>
      <c r="E60" s="1069"/>
      <c r="F60" s="1070"/>
      <c r="G60" s="675"/>
      <c r="H60" s="671"/>
      <c r="I60" s="671"/>
      <c r="J60" s="671"/>
      <c r="K60" s="671"/>
      <c r="L60" s="671"/>
      <c r="M60" s="671"/>
      <c r="N60" s="673"/>
    </row>
    <row r="61" spans="1:14" s="293" customFormat="1">
      <c r="A61" s="690"/>
      <c r="B61" s="680"/>
      <c r="C61" s="725"/>
      <c r="D61" s="680"/>
      <c r="E61" s="680"/>
      <c r="F61" s="680"/>
      <c r="G61" s="675"/>
      <c r="H61" s="671"/>
      <c r="I61" s="671"/>
      <c r="J61" s="671"/>
      <c r="K61" s="671"/>
      <c r="L61" s="671"/>
      <c r="M61" s="671"/>
      <c r="N61" s="673"/>
    </row>
    <row r="62" spans="1:14" s="293" customFormat="1">
      <c r="A62" s="1000" t="s">
        <v>264</v>
      </c>
      <c r="B62" s="1001"/>
      <c r="C62" s="1001"/>
      <c r="D62" s="1001"/>
      <c r="E62" s="1001"/>
      <c r="F62" s="680"/>
      <c r="G62" s="675"/>
      <c r="H62" s="671"/>
      <c r="I62" s="671"/>
      <c r="J62" s="671"/>
      <c r="K62" s="671"/>
      <c r="L62" s="671"/>
      <c r="M62" s="671"/>
      <c r="N62" s="673"/>
    </row>
    <row r="63" spans="1:14" s="293" customFormat="1" ht="30.15" customHeight="1">
      <c r="A63" s="1007" t="s">
        <v>777</v>
      </c>
      <c r="B63" s="1008"/>
      <c r="C63" s="1008"/>
      <c r="D63" s="1008"/>
      <c r="E63" s="1008"/>
      <c r="F63" s="1009"/>
      <c r="G63" s="675"/>
      <c r="H63" s="671"/>
      <c r="I63" s="671"/>
      <c r="J63" s="671"/>
      <c r="K63" s="671"/>
      <c r="L63" s="671"/>
      <c r="M63" s="671"/>
      <c r="N63" s="673"/>
    </row>
    <row r="64" spans="1:14" s="293" customFormat="1">
      <c r="A64" s="686"/>
      <c r="B64" s="680"/>
      <c r="C64" s="725"/>
      <c r="D64" s="680"/>
      <c r="E64" s="680"/>
      <c r="F64" s="680"/>
      <c r="G64" s="675"/>
      <c r="H64" s="671"/>
      <c r="I64" s="671"/>
      <c r="J64" s="671"/>
      <c r="K64" s="671"/>
      <c r="L64" s="671"/>
      <c r="M64" s="671"/>
      <c r="N64" s="673"/>
    </row>
    <row r="65" spans="1:14" s="293" customFormat="1">
      <c r="A65" s="690" t="s">
        <v>265</v>
      </c>
      <c r="B65" s="680"/>
      <c r="C65" s="725"/>
      <c r="D65" s="680"/>
      <c r="E65" s="680"/>
      <c r="F65" s="680"/>
      <c r="G65" s="675"/>
      <c r="H65" s="671"/>
      <c r="I65" s="671"/>
      <c r="J65" s="671"/>
      <c r="K65" s="671"/>
      <c r="L65" s="671"/>
      <c r="M65" s="671"/>
      <c r="N65" s="673"/>
    </row>
    <row r="66" spans="1:14" s="293" customFormat="1">
      <c r="A66" s="691" t="s">
        <v>266</v>
      </c>
      <c r="B66" s="680"/>
      <c r="C66" s="725"/>
      <c r="D66" s="680"/>
      <c r="E66" s="680"/>
      <c r="F66" s="680"/>
      <c r="G66" s="675"/>
      <c r="H66" s="671"/>
      <c r="I66" s="671"/>
      <c r="J66" s="671"/>
      <c r="K66" s="671"/>
      <c r="L66" s="671"/>
      <c r="M66" s="671"/>
      <c r="N66" s="673"/>
    </row>
    <row r="67" spans="1:14" s="293" customFormat="1" ht="26.25" customHeight="1">
      <c r="A67" s="1036" t="s">
        <v>1030</v>
      </c>
      <c r="B67" s="1037"/>
      <c r="C67" s="1037"/>
      <c r="D67" s="1037"/>
      <c r="E67" s="1037"/>
      <c r="F67" s="1037"/>
      <c r="G67" s="675"/>
      <c r="H67" s="671"/>
      <c r="I67" s="671"/>
      <c r="J67" s="671"/>
      <c r="K67" s="671"/>
      <c r="L67" s="671"/>
      <c r="M67" s="671"/>
      <c r="N67" s="673"/>
    </row>
    <row r="68" spans="1:14" s="293" customFormat="1" ht="31" customHeight="1">
      <c r="A68" s="1002" t="s">
        <v>1098</v>
      </c>
      <c r="B68" s="1003"/>
      <c r="C68" s="1003"/>
      <c r="D68" s="1003"/>
      <c r="E68" s="1003"/>
      <c r="F68" s="1004"/>
      <c r="G68" s="675"/>
      <c r="H68" s="671"/>
      <c r="I68" s="671"/>
      <c r="J68" s="671"/>
      <c r="K68" s="671"/>
      <c r="L68" s="671"/>
      <c r="M68" s="671"/>
      <c r="N68" s="673"/>
    </row>
    <row r="69" spans="1:14" s="293" customFormat="1">
      <c r="A69" s="1012"/>
      <c r="B69" s="1013"/>
      <c r="C69" s="1013"/>
      <c r="D69" s="1013"/>
      <c r="E69" s="1013"/>
      <c r="F69" s="1013"/>
      <c r="G69" s="675"/>
      <c r="H69" s="671"/>
      <c r="I69" s="671"/>
      <c r="J69" s="671"/>
      <c r="K69" s="671"/>
      <c r="L69" s="671"/>
      <c r="M69" s="671"/>
      <c r="N69" s="673"/>
    </row>
    <row r="70" spans="1:14" s="293" customFormat="1">
      <c r="A70" s="691" t="s">
        <v>268</v>
      </c>
      <c r="B70" s="680"/>
      <c r="C70" s="725"/>
      <c r="D70" s="680"/>
      <c r="E70" s="680"/>
      <c r="F70" s="680"/>
      <c r="G70" s="675"/>
      <c r="H70" s="671"/>
      <c r="I70" s="671"/>
      <c r="J70" s="671"/>
      <c r="K70" s="671"/>
      <c r="L70" s="671"/>
      <c r="M70" s="671"/>
      <c r="N70" s="673"/>
    </row>
    <row r="71" spans="1:14" s="293" customFormat="1" ht="45" customHeight="1">
      <c r="A71" s="1031" t="s">
        <v>269</v>
      </c>
      <c r="B71" s="1032"/>
      <c r="C71" s="1032"/>
      <c r="D71" s="1032"/>
      <c r="E71" s="1032"/>
      <c r="F71" s="1032"/>
      <c r="G71" s="675"/>
      <c r="H71" s="671"/>
      <c r="I71" s="671"/>
      <c r="J71" s="671"/>
      <c r="K71" s="671"/>
      <c r="L71" s="671"/>
      <c r="M71" s="671"/>
      <c r="N71" s="673"/>
    </row>
    <row r="72" spans="1:14" s="293" customFormat="1" ht="24.5" customHeight="1">
      <c r="A72" s="1007" t="s">
        <v>452</v>
      </c>
      <c r="B72" s="1008"/>
      <c r="C72" s="1008"/>
      <c r="D72" s="1008"/>
      <c r="E72" s="1008"/>
      <c r="F72" s="1009"/>
      <c r="G72" s="675"/>
      <c r="H72" s="671"/>
      <c r="I72" s="671"/>
      <c r="J72" s="671"/>
      <c r="K72" s="671"/>
      <c r="L72" s="671"/>
      <c r="M72" s="671"/>
      <c r="N72" s="673"/>
    </row>
    <row r="73" spans="1:14" s="293" customFormat="1" ht="15" thickBot="1">
      <c r="A73" s="692"/>
      <c r="B73" s="693"/>
      <c r="C73" s="694"/>
      <c r="D73" s="693"/>
      <c r="E73" s="693"/>
      <c r="F73" s="693"/>
      <c r="G73" s="695"/>
      <c r="H73" s="671"/>
      <c r="I73" s="671"/>
      <c r="J73" s="671"/>
      <c r="K73" s="671"/>
      <c r="L73" s="671"/>
      <c r="M73" s="671"/>
      <c r="N73" s="673"/>
    </row>
    <row r="74" spans="1:14" s="293" customFormat="1">
      <c r="A74" s="671"/>
      <c r="B74" s="671"/>
      <c r="C74" s="672"/>
      <c r="D74" s="671"/>
      <c r="E74" s="671"/>
      <c r="F74" s="671"/>
      <c r="G74" s="671"/>
      <c r="H74" s="671"/>
      <c r="I74" s="671"/>
      <c r="J74" s="671"/>
      <c r="K74" s="671"/>
      <c r="L74" s="671"/>
      <c r="M74" s="671"/>
      <c r="N74" s="673"/>
    </row>
    <row r="75" spans="1:14" s="293" customFormat="1">
      <c r="A75" s="671"/>
      <c r="B75" s="671"/>
      <c r="C75" s="672"/>
      <c r="D75" s="671"/>
      <c r="E75" s="671"/>
      <c r="F75" s="671"/>
      <c r="G75" s="671"/>
      <c r="H75" s="671"/>
      <c r="I75" s="671"/>
      <c r="J75" s="671"/>
      <c r="K75" s="671"/>
      <c r="L75" s="671"/>
      <c r="M75" s="671"/>
      <c r="N75" s="673"/>
    </row>
    <row r="76" spans="1:14" s="293" customFormat="1">
      <c r="A76" s="671"/>
      <c r="B76" s="671"/>
      <c r="C76" s="672"/>
      <c r="D76" s="671"/>
      <c r="E76" s="671"/>
      <c r="F76" s="671"/>
      <c r="G76" s="671"/>
      <c r="H76" s="671"/>
      <c r="I76" s="671"/>
      <c r="J76" s="671"/>
      <c r="K76" s="671"/>
      <c r="L76" s="671"/>
      <c r="M76" s="671"/>
      <c r="N76" s="673"/>
    </row>
    <row r="77" spans="1:14" s="293" customFormat="1">
      <c r="A77" s="671"/>
      <c r="B77" s="671"/>
      <c r="C77" s="672"/>
      <c r="D77" s="671"/>
      <c r="E77" s="671"/>
      <c r="F77" s="671"/>
      <c r="G77" s="671"/>
      <c r="H77" s="671"/>
      <c r="I77" s="671"/>
      <c r="J77" s="671"/>
      <c r="K77" s="671"/>
      <c r="L77" s="671"/>
      <c r="M77" s="671"/>
      <c r="N77" s="673"/>
    </row>
    <row r="78" spans="1:14" s="293" customFormat="1">
      <c r="A78" s="671"/>
      <c r="B78" s="671"/>
      <c r="C78" s="672"/>
      <c r="D78" s="671"/>
      <c r="E78" s="671"/>
      <c r="F78" s="671"/>
      <c r="G78" s="671"/>
      <c r="H78" s="671"/>
      <c r="I78" s="671"/>
      <c r="J78" s="671"/>
      <c r="K78" s="671"/>
      <c r="L78" s="671"/>
      <c r="M78" s="671"/>
      <c r="N78" s="673"/>
    </row>
    <row r="79" spans="1:14" s="293" customFormat="1">
      <c r="A79" s="671"/>
      <c r="B79" s="671"/>
      <c r="C79" s="672"/>
      <c r="D79" s="671"/>
      <c r="E79" s="671"/>
      <c r="F79" s="671"/>
      <c r="G79" s="671"/>
      <c r="H79" s="671"/>
      <c r="I79" s="671"/>
      <c r="J79" s="671"/>
      <c r="K79" s="671"/>
      <c r="L79" s="671"/>
      <c r="M79" s="671"/>
      <c r="N79" s="673"/>
    </row>
    <row r="80" spans="1:14" s="293" customFormat="1">
      <c r="A80" s="671"/>
      <c r="B80" s="671"/>
      <c r="C80" s="672"/>
      <c r="D80" s="671"/>
      <c r="E80" s="671"/>
      <c r="F80" s="671"/>
      <c r="G80" s="671"/>
      <c r="H80" s="671"/>
      <c r="I80" s="671"/>
      <c r="J80" s="671"/>
      <c r="K80" s="671"/>
      <c r="L80" s="671"/>
      <c r="M80" s="671"/>
      <c r="N80" s="673"/>
    </row>
    <row r="81" spans="1:14" s="293" customFormat="1">
      <c r="A81" s="671"/>
      <c r="B81" s="671"/>
      <c r="C81" s="672"/>
      <c r="D81" s="671"/>
      <c r="E81" s="671"/>
      <c r="F81" s="671"/>
      <c r="G81" s="671"/>
      <c r="H81" s="671"/>
      <c r="I81" s="671"/>
      <c r="J81" s="671"/>
      <c r="K81" s="671"/>
      <c r="L81" s="671"/>
      <c r="M81" s="671"/>
      <c r="N81" s="673"/>
    </row>
    <row r="82" spans="1:14" s="293" customFormat="1">
      <c r="A82" s="671"/>
      <c r="B82" s="671"/>
      <c r="C82" s="672"/>
      <c r="D82" s="671"/>
      <c r="E82" s="671"/>
      <c r="F82" s="671"/>
      <c r="G82" s="671"/>
      <c r="H82" s="671"/>
      <c r="I82" s="671"/>
      <c r="J82" s="671"/>
      <c r="K82" s="671"/>
      <c r="L82" s="671"/>
      <c r="M82" s="671"/>
      <c r="N82" s="673"/>
    </row>
    <row r="83" spans="1:14" s="293" customFormat="1">
      <c r="A83" s="671"/>
      <c r="B83" s="671"/>
      <c r="C83" s="672"/>
      <c r="D83" s="671"/>
      <c r="E83" s="671"/>
      <c r="F83" s="671"/>
      <c r="G83" s="671"/>
      <c r="H83" s="671"/>
      <c r="I83" s="671"/>
      <c r="J83" s="671"/>
      <c r="K83" s="671"/>
      <c r="L83" s="671"/>
      <c r="M83" s="671"/>
      <c r="N83" s="673"/>
    </row>
    <row r="84" spans="1:14" s="293" customFormat="1">
      <c r="A84" s="671"/>
      <c r="B84" s="671"/>
      <c r="C84" s="672"/>
      <c r="D84" s="671"/>
      <c r="E84" s="671"/>
      <c r="F84" s="671"/>
      <c r="G84" s="671"/>
      <c r="H84" s="671"/>
      <c r="I84" s="671"/>
      <c r="J84" s="671"/>
      <c r="K84" s="671"/>
      <c r="L84" s="671"/>
      <c r="M84" s="671"/>
      <c r="N84" s="673"/>
    </row>
    <row r="85" spans="1:14" s="293" customFormat="1">
      <c r="A85" s="671"/>
      <c r="B85" s="671"/>
      <c r="C85" s="672"/>
      <c r="D85" s="671"/>
      <c r="E85" s="671"/>
      <c r="F85" s="671"/>
      <c r="G85" s="671"/>
      <c r="H85" s="671"/>
      <c r="I85" s="671"/>
      <c r="J85" s="671"/>
      <c r="K85" s="671"/>
      <c r="L85" s="671"/>
      <c r="M85" s="671"/>
      <c r="N85" s="673"/>
    </row>
    <row r="86" spans="1:14" s="293" customFormat="1">
      <c r="A86" s="671"/>
      <c r="B86" s="671"/>
      <c r="C86" s="672"/>
      <c r="D86" s="671"/>
      <c r="E86" s="671"/>
      <c r="F86" s="671"/>
      <c r="G86" s="671"/>
      <c r="H86" s="671"/>
      <c r="I86" s="671"/>
      <c r="J86" s="671"/>
      <c r="K86" s="671"/>
      <c r="L86" s="671"/>
      <c r="M86" s="671"/>
      <c r="N86" s="673"/>
    </row>
    <row r="87" spans="1:14" s="293" customFormat="1">
      <c r="A87" s="671"/>
      <c r="B87" s="671"/>
      <c r="C87" s="672"/>
      <c r="D87" s="671"/>
      <c r="E87" s="671"/>
      <c r="F87" s="671"/>
      <c r="G87" s="671"/>
      <c r="H87" s="671"/>
      <c r="I87" s="671"/>
      <c r="J87" s="671"/>
      <c r="K87" s="671"/>
      <c r="L87" s="671"/>
      <c r="M87" s="671"/>
      <c r="N87" s="673"/>
    </row>
    <row r="88" spans="1:14" s="293" customFormat="1">
      <c r="A88" s="671"/>
      <c r="B88" s="671"/>
      <c r="C88" s="672"/>
      <c r="D88" s="671"/>
      <c r="E88" s="671"/>
      <c r="F88" s="671"/>
      <c r="G88" s="671"/>
      <c r="H88" s="671"/>
      <c r="I88" s="671"/>
      <c r="J88" s="671"/>
      <c r="K88" s="671"/>
      <c r="L88" s="671"/>
      <c r="M88" s="671"/>
      <c r="N88" s="673"/>
    </row>
    <row r="89" spans="1:14" s="293" customFormat="1">
      <c r="A89" s="671"/>
      <c r="B89" s="671"/>
      <c r="C89" s="672"/>
      <c r="D89" s="671"/>
      <c r="E89" s="671"/>
      <c r="F89" s="671"/>
      <c r="G89" s="671"/>
      <c r="H89" s="671"/>
      <c r="I89" s="671"/>
      <c r="J89" s="671"/>
      <c r="K89" s="671"/>
      <c r="L89" s="671"/>
      <c r="M89" s="671"/>
      <c r="N89" s="673"/>
    </row>
    <row r="90" spans="1:14" s="293" customFormat="1">
      <c r="A90" s="671"/>
      <c r="B90" s="671"/>
      <c r="C90" s="672"/>
      <c r="D90" s="671"/>
      <c r="E90" s="671"/>
      <c r="F90" s="671"/>
      <c r="G90" s="671"/>
      <c r="H90" s="671"/>
      <c r="I90" s="671"/>
      <c r="J90" s="671"/>
      <c r="K90" s="671"/>
      <c r="L90" s="671"/>
      <c r="M90" s="671"/>
      <c r="N90" s="673"/>
    </row>
  </sheetData>
  <mergeCells count="17">
    <mergeCell ref="A71:F71"/>
    <mergeCell ref="A72:F72"/>
    <mergeCell ref="A62:E62"/>
    <mergeCell ref="A63:F63"/>
    <mergeCell ref="A67:F67"/>
    <mergeCell ref="A68:F68"/>
    <mergeCell ref="A69:F69"/>
    <mergeCell ref="A53:F53"/>
    <mergeCell ref="A56:F56"/>
    <mergeCell ref="A58:F58"/>
    <mergeCell ref="A59:F59"/>
    <mergeCell ref="A60:F60"/>
    <mergeCell ref="A1:N1"/>
    <mergeCell ref="A44:F44"/>
    <mergeCell ref="A45:F45"/>
    <mergeCell ref="A46:B46"/>
    <mergeCell ref="A52:F52"/>
  </mergeCells>
  <printOptions horizontalCentered="1"/>
  <pageMargins left="0.2" right="0.2" top="0.75" bottom="0.75" header="0.3" footer="0.3"/>
  <pageSetup scale="76" fitToHeight="0" orientation="landscape" r:id="rId1"/>
  <headerFooter>
    <oddHeader xml:space="preserve">&amp;CDRAFT NOT FOR DISTRIBUTION, INTERNAL USE ONLY
</oddHead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0.249977111117893"/>
    <pageSetUpPr fitToPage="1"/>
  </sheetPr>
  <dimension ref="A1:N173"/>
  <sheetViews>
    <sheetView zoomScaleNormal="100" workbookViewId="0">
      <selection sqref="A1:N1"/>
    </sheetView>
  </sheetViews>
  <sheetFormatPr defaultRowHeight="14.5"/>
  <cols>
    <col min="1" max="1" width="42.1796875" customWidth="1"/>
    <col min="2" max="2" width="12.54296875" customWidth="1"/>
    <col min="3" max="3" width="7.7265625" style="30" customWidth="1"/>
    <col min="4" max="4" width="8.7265625"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42.26953125" customWidth="1"/>
  </cols>
  <sheetData>
    <row r="1" spans="1:14" ht="15.5">
      <c r="A1" s="854" t="s">
        <v>165</v>
      </c>
      <c r="B1" s="854"/>
      <c r="C1" s="854"/>
      <c r="D1" s="854"/>
      <c r="E1" s="854"/>
      <c r="F1" s="854"/>
      <c r="G1" s="854"/>
      <c r="H1" s="854"/>
      <c r="I1" s="854"/>
      <c r="J1" s="854"/>
      <c r="K1" s="854"/>
      <c r="L1" s="854"/>
      <c r="M1" s="854"/>
      <c r="N1" s="854"/>
    </row>
    <row r="2" spans="1:14">
      <c r="A2" s="702" t="s">
        <v>665</v>
      </c>
      <c r="B2" s="370"/>
      <c r="C2" s="639"/>
      <c r="D2" s="370"/>
      <c r="E2" s="370"/>
      <c r="F2" s="370"/>
      <c r="G2" s="370"/>
      <c r="H2" s="370"/>
      <c r="I2" s="370"/>
      <c r="J2" s="370"/>
      <c r="K2" s="370"/>
      <c r="L2" s="370"/>
      <c r="M2" s="370"/>
      <c r="N2" s="370"/>
    </row>
    <row r="3" spans="1:14" ht="26">
      <c r="A3" s="506" t="s">
        <v>1296</v>
      </c>
      <c r="B3" s="370"/>
      <c r="C3" s="639"/>
      <c r="D3" s="370"/>
      <c r="E3" s="370"/>
      <c r="F3" s="370"/>
      <c r="G3" s="451" t="s">
        <v>210</v>
      </c>
      <c r="H3" s="29"/>
      <c r="I3" s="370"/>
      <c r="J3" s="370"/>
      <c r="K3" s="370"/>
      <c r="L3" s="370"/>
      <c r="M3" s="370"/>
      <c r="N3" s="370"/>
    </row>
    <row r="4" spans="1:14" ht="26">
      <c r="A4" s="506" t="s">
        <v>1375</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125" t="s">
        <v>216</v>
      </c>
      <c r="B6" s="126"/>
      <c r="C6" s="127"/>
      <c r="D6" s="126"/>
      <c r="E6" s="126"/>
      <c r="F6" s="87"/>
      <c r="G6" s="87"/>
      <c r="H6" s="87"/>
      <c r="I6" s="87"/>
      <c r="J6" s="87"/>
      <c r="K6" s="87"/>
      <c r="L6" s="87"/>
      <c r="M6" s="87"/>
      <c r="N6" s="87"/>
    </row>
    <row r="7" spans="1:14" s="279" customFormat="1">
      <c r="A7" s="36" t="s">
        <v>666</v>
      </c>
      <c r="B7" s="260" t="s">
        <v>546</v>
      </c>
      <c r="C7" s="37" t="s">
        <v>218</v>
      </c>
      <c r="D7" s="39">
        <v>0.12</v>
      </c>
      <c r="E7" s="258">
        <v>22</v>
      </c>
      <c r="F7" s="303">
        <f t="shared" ref="F7" si="0">SUM(G7:M7)</f>
        <v>46</v>
      </c>
      <c r="G7" s="304">
        <v>0</v>
      </c>
      <c r="H7" s="304">
        <v>0</v>
      </c>
      <c r="I7" s="304">
        <v>0</v>
      </c>
      <c r="J7" s="304">
        <v>0</v>
      </c>
      <c r="K7" s="304">
        <v>46</v>
      </c>
      <c r="L7" s="304">
        <v>0</v>
      </c>
      <c r="M7" s="305">
        <v>0</v>
      </c>
      <c r="N7" s="318" t="s">
        <v>1326</v>
      </c>
    </row>
    <row r="8" spans="1:14" s="370" customFormat="1" ht="59.5" customHeight="1">
      <c r="A8" s="371" t="s">
        <v>986</v>
      </c>
      <c r="B8" s="260" t="s">
        <v>538</v>
      </c>
      <c r="C8" s="37" t="s">
        <v>218</v>
      </c>
      <c r="D8" s="39">
        <v>0</v>
      </c>
      <c r="E8" s="258">
        <v>42</v>
      </c>
      <c r="F8" s="303">
        <f t="shared" ref="F8" si="1">SUM(G8:M8)</f>
        <v>0</v>
      </c>
      <c r="G8" s="304">
        <v>0</v>
      </c>
      <c r="H8" s="304">
        <v>0</v>
      </c>
      <c r="I8" s="304">
        <v>0</v>
      </c>
      <c r="J8" s="304">
        <v>0</v>
      </c>
      <c r="K8" s="304">
        <v>0</v>
      </c>
      <c r="L8" s="304">
        <v>0</v>
      </c>
      <c r="M8" s="305">
        <v>0</v>
      </c>
      <c r="N8" s="318" t="s">
        <v>1109</v>
      </c>
    </row>
    <row r="9" spans="1:14" s="370" customFormat="1" ht="43.5">
      <c r="A9" s="36" t="s">
        <v>667</v>
      </c>
      <c r="B9" s="259" t="s">
        <v>538</v>
      </c>
      <c r="C9" s="37" t="s">
        <v>218</v>
      </c>
      <c r="D9" s="39">
        <v>0</v>
      </c>
      <c r="E9" s="258">
        <v>13</v>
      </c>
      <c r="F9" s="303">
        <f t="shared" ref="F9" si="2">SUM(G9:M9)</f>
        <v>0</v>
      </c>
      <c r="G9" s="304">
        <v>0</v>
      </c>
      <c r="H9" s="304">
        <v>0</v>
      </c>
      <c r="I9" s="304">
        <v>0</v>
      </c>
      <c r="J9" s="304">
        <v>0</v>
      </c>
      <c r="K9" s="304">
        <v>0</v>
      </c>
      <c r="L9" s="304">
        <f>13-13</f>
        <v>0</v>
      </c>
      <c r="M9" s="305">
        <v>0</v>
      </c>
      <c r="N9" s="320" t="s">
        <v>1465</v>
      </c>
    </row>
    <row r="10" spans="1:14" s="370" customFormat="1" ht="59.5" customHeight="1">
      <c r="A10" s="371" t="s">
        <v>1461</v>
      </c>
      <c r="B10" s="260" t="s">
        <v>538</v>
      </c>
      <c r="C10" s="37" t="s">
        <v>218</v>
      </c>
      <c r="D10" s="39">
        <v>0</v>
      </c>
      <c r="E10" s="258">
        <v>0</v>
      </c>
      <c r="F10" s="303">
        <f t="shared" ref="F10:F11" si="3">SUM(G10:M10)</f>
        <v>0</v>
      </c>
      <c r="G10" s="304">
        <v>0</v>
      </c>
      <c r="H10" s="304">
        <v>0</v>
      </c>
      <c r="I10" s="304">
        <v>0</v>
      </c>
      <c r="J10" s="304">
        <v>0</v>
      </c>
      <c r="K10" s="304">
        <v>0</v>
      </c>
      <c r="L10" s="304">
        <v>0</v>
      </c>
      <c r="M10" s="305">
        <v>0</v>
      </c>
      <c r="N10" s="318" t="s">
        <v>1463</v>
      </c>
    </row>
    <row r="11" spans="1:14">
      <c r="A11" s="36" t="s">
        <v>217</v>
      </c>
      <c r="B11" s="259"/>
      <c r="C11" s="37" t="s">
        <v>218</v>
      </c>
      <c r="D11" s="39"/>
      <c r="E11" s="258">
        <v>0</v>
      </c>
      <c r="F11" s="303">
        <f t="shared" si="3"/>
        <v>0</v>
      </c>
      <c r="G11" s="304">
        <v>0</v>
      </c>
      <c r="H11" s="304">
        <v>0</v>
      </c>
      <c r="I11" s="304">
        <v>0</v>
      </c>
      <c r="J11" s="304">
        <v>0</v>
      </c>
      <c r="K11" s="304">
        <v>0</v>
      </c>
      <c r="L11" s="304">
        <v>0</v>
      </c>
      <c r="M11" s="305">
        <v>0</v>
      </c>
      <c r="N11" s="320"/>
    </row>
    <row r="12" spans="1:14" ht="15" customHeight="1">
      <c r="A12" s="36" t="s">
        <v>217</v>
      </c>
      <c r="B12" s="36"/>
      <c r="C12" s="37" t="s">
        <v>218</v>
      </c>
      <c r="D12" s="39"/>
      <c r="E12" s="258">
        <v>0</v>
      </c>
      <c r="F12" s="303">
        <f>SUM(G12:M12)</f>
        <v>0</v>
      </c>
      <c r="G12" s="304">
        <v>0</v>
      </c>
      <c r="H12" s="304">
        <v>0</v>
      </c>
      <c r="I12" s="304">
        <v>0</v>
      </c>
      <c r="J12" s="304">
        <v>0</v>
      </c>
      <c r="K12" s="304">
        <v>0</v>
      </c>
      <c r="L12" s="304">
        <v>0</v>
      </c>
      <c r="M12" s="305">
        <v>0</v>
      </c>
      <c r="N12" s="348"/>
    </row>
    <row r="13" spans="1:14">
      <c r="A13" s="40" t="s">
        <v>219</v>
      </c>
      <c r="B13" s="260"/>
      <c r="C13" s="261"/>
      <c r="D13" s="41">
        <f t="shared" ref="D13:L13" si="4">SUM(D7:D12)</f>
        <v>0.12</v>
      </c>
      <c r="E13" s="42">
        <f t="shared" si="4"/>
        <v>77</v>
      </c>
      <c r="F13" s="43">
        <f t="shared" si="4"/>
        <v>46</v>
      </c>
      <c r="G13" s="43">
        <f t="shared" si="4"/>
        <v>0</v>
      </c>
      <c r="H13" s="43">
        <f t="shared" si="4"/>
        <v>0</v>
      </c>
      <c r="I13" s="43">
        <f t="shared" si="4"/>
        <v>0</v>
      </c>
      <c r="J13" s="43">
        <f t="shared" si="4"/>
        <v>0</v>
      </c>
      <c r="K13" s="43">
        <f t="shared" si="4"/>
        <v>46</v>
      </c>
      <c r="L13" s="43">
        <f t="shared" si="4"/>
        <v>0</v>
      </c>
      <c r="M13" s="43">
        <f>SUM(M11:M12)</f>
        <v>0</v>
      </c>
      <c r="N13" s="348"/>
    </row>
    <row r="14" spans="1:14">
      <c r="A14" s="125" t="s">
        <v>220</v>
      </c>
      <c r="B14" s="126"/>
      <c r="C14" s="127"/>
      <c r="D14" s="126"/>
      <c r="E14" s="126"/>
      <c r="F14" s="87"/>
      <c r="G14" s="87"/>
      <c r="H14" s="87"/>
      <c r="I14" s="87"/>
      <c r="J14" s="87"/>
      <c r="K14" s="87"/>
      <c r="L14" s="87"/>
      <c r="M14" s="87"/>
      <c r="N14" s="87"/>
    </row>
    <row r="15" spans="1:14" ht="29">
      <c r="A15" s="259" t="s">
        <v>933</v>
      </c>
      <c r="B15" s="259" t="s">
        <v>892</v>
      </c>
      <c r="C15" s="44">
        <v>253</v>
      </c>
      <c r="D15" s="45" t="s">
        <v>932</v>
      </c>
      <c r="E15" s="258">
        <v>200</v>
      </c>
      <c r="F15" s="303">
        <f t="shared" ref="F15:F16" si="5">SUM(G15:M15)</f>
        <v>50</v>
      </c>
      <c r="G15" s="304" t="s">
        <v>929</v>
      </c>
      <c r="H15" s="304" t="s">
        <v>930</v>
      </c>
      <c r="I15" s="304" t="s">
        <v>931</v>
      </c>
      <c r="J15" s="304" t="s">
        <v>931</v>
      </c>
      <c r="K15" s="304">
        <v>50</v>
      </c>
      <c r="L15" s="304" t="s">
        <v>929</v>
      </c>
      <c r="M15" s="305" t="s">
        <v>934</v>
      </c>
      <c r="N15" s="320" t="s">
        <v>935</v>
      </c>
    </row>
    <row r="16" spans="1:14" s="370" customFormat="1">
      <c r="A16" s="260" t="s">
        <v>1297</v>
      </c>
      <c r="B16" s="260" t="s">
        <v>1256</v>
      </c>
      <c r="C16" s="261">
        <v>253</v>
      </c>
      <c r="D16" s="262" t="s">
        <v>932</v>
      </c>
      <c r="E16" s="311">
        <v>0</v>
      </c>
      <c r="F16" s="303">
        <f t="shared" si="5"/>
        <v>2</v>
      </c>
      <c r="G16" s="312" t="s">
        <v>929</v>
      </c>
      <c r="H16" s="312" t="s">
        <v>930</v>
      </c>
      <c r="I16" s="312" t="s">
        <v>931</v>
      </c>
      <c r="J16" s="312" t="s">
        <v>931</v>
      </c>
      <c r="K16" s="312">
        <v>2</v>
      </c>
      <c r="L16" s="312" t="s">
        <v>929</v>
      </c>
      <c r="M16" s="313" t="s">
        <v>934</v>
      </c>
      <c r="N16" s="320" t="s">
        <v>1298</v>
      </c>
    </row>
    <row r="17" spans="1:14">
      <c r="A17" s="40" t="s">
        <v>225</v>
      </c>
      <c r="B17" s="260"/>
      <c r="C17" s="261"/>
      <c r="D17" s="262">
        <f>SUM(D15:D15)</f>
        <v>0</v>
      </c>
      <c r="E17" s="42">
        <f>SUM(E15:E16)</f>
        <v>200</v>
      </c>
      <c r="F17" s="43">
        <f>SUM(F15:F16)</f>
        <v>52</v>
      </c>
      <c r="G17" s="43">
        <f>SUM(G15:G16)</f>
        <v>0</v>
      </c>
      <c r="H17" s="43">
        <f t="shared" ref="H17:M17" si="6">SUM(H15:H16)</f>
        <v>0</v>
      </c>
      <c r="I17" s="43">
        <f t="shared" si="6"/>
        <v>0</v>
      </c>
      <c r="J17" s="43">
        <f t="shared" si="6"/>
        <v>0</v>
      </c>
      <c r="K17" s="43">
        <f t="shared" si="6"/>
        <v>52</v>
      </c>
      <c r="L17" s="43">
        <f t="shared" si="6"/>
        <v>0</v>
      </c>
      <c r="M17" s="43">
        <f t="shared" si="6"/>
        <v>0</v>
      </c>
      <c r="N17" s="318"/>
    </row>
    <row r="18" spans="1:14" s="7" customFormat="1">
      <c r="A18" s="125" t="s">
        <v>226</v>
      </c>
      <c r="B18" s="126"/>
      <c r="C18" s="126"/>
      <c r="D18" s="126"/>
      <c r="E18" s="87"/>
      <c r="F18" s="87"/>
      <c r="G18" s="87"/>
      <c r="H18" s="87"/>
      <c r="I18" s="87"/>
      <c r="J18" s="87"/>
      <c r="K18" s="87"/>
      <c r="L18" s="87"/>
      <c r="M18" s="87"/>
      <c r="N18" s="128"/>
    </row>
    <row r="19" spans="1:14" ht="43.5">
      <c r="A19" s="259" t="s">
        <v>227</v>
      </c>
      <c r="B19" s="36"/>
      <c r="C19" s="37" t="s">
        <v>228</v>
      </c>
      <c r="D19" s="38">
        <v>0</v>
      </c>
      <c r="E19" s="258">
        <v>29</v>
      </c>
      <c r="F19" s="303">
        <f t="shared" ref="F19:F35" si="7">SUM(G19:M19)</f>
        <v>0</v>
      </c>
      <c r="G19" s="304">
        <v>0</v>
      </c>
      <c r="H19" s="304">
        <v>0</v>
      </c>
      <c r="I19" s="304">
        <v>0</v>
      </c>
      <c r="J19" s="304">
        <v>0</v>
      </c>
      <c r="K19" s="304">
        <v>0</v>
      </c>
      <c r="L19" s="304">
        <f>20-20</f>
        <v>0</v>
      </c>
      <c r="M19" s="305">
        <v>0</v>
      </c>
      <c r="N19" s="320" t="s">
        <v>1464</v>
      </c>
    </row>
    <row r="20" spans="1:14">
      <c r="A20" s="259" t="s">
        <v>229</v>
      </c>
      <c r="B20" s="36"/>
      <c r="C20" s="44" t="s">
        <v>230</v>
      </c>
      <c r="D20" s="45"/>
      <c r="E20" s="258">
        <v>0</v>
      </c>
      <c r="F20" s="303">
        <f t="shared" si="7"/>
        <v>0</v>
      </c>
      <c r="G20" s="304">
        <v>0</v>
      </c>
      <c r="H20" s="304">
        <v>0</v>
      </c>
      <c r="I20" s="304">
        <v>0</v>
      </c>
      <c r="J20" s="304">
        <v>0</v>
      </c>
      <c r="K20" s="304">
        <v>0</v>
      </c>
      <c r="L20" s="304">
        <v>0</v>
      </c>
      <c r="M20" s="305">
        <v>0</v>
      </c>
      <c r="N20" s="348"/>
    </row>
    <row r="21" spans="1:14">
      <c r="A21" s="259" t="s">
        <v>231</v>
      </c>
      <c r="B21" s="36"/>
      <c r="C21" s="44" t="s">
        <v>232</v>
      </c>
      <c r="D21" s="45"/>
      <c r="E21" s="258">
        <v>3</v>
      </c>
      <c r="F21" s="303">
        <f t="shared" si="7"/>
        <v>3</v>
      </c>
      <c r="G21" s="304">
        <v>0</v>
      </c>
      <c r="H21" s="304">
        <v>0</v>
      </c>
      <c r="I21" s="304">
        <v>0</v>
      </c>
      <c r="J21" s="304">
        <v>0</v>
      </c>
      <c r="K21" s="304">
        <v>3</v>
      </c>
      <c r="L21" s="304">
        <v>0</v>
      </c>
      <c r="M21" s="305">
        <v>0</v>
      </c>
      <c r="N21" s="406" t="s">
        <v>668</v>
      </c>
    </row>
    <row r="22" spans="1:14">
      <c r="A22" s="259" t="s">
        <v>233</v>
      </c>
      <c r="B22" s="259"/>
      <c r="C22" s="44" t="s">
        <v>234</v>
      </c>
      <c r="D22" s="45"/>
      <c r="E22" s="258">
        <v>0</v>
      </c>
      <c r="F22" s="303">
        <f t="shared" si="7"/>
        <v>0</v>
      </c>
      <c r="G22" s="304">
        <v>0</v>
      </c>
      <c r="H22" s="304">
        <v>0</v>
      </c>
      <c r="I22" s="304">
        <v>0</v>
      </c>
      <c r="J22" s="304">
        <v>0</v>
      </c>
      <c r="K22" s="304">
        <v>0</v>
      </c>
      <c r="L22" s="304">
        <v>0</v>
      </c>
      <c r="M22" s="305">
        <v>0</v>
      </c>
      <c r="N22" s="318"/>
    </row>
    <row r="23" spans="1:14" s="279" customFormat="1">
      <c r="A23" s="259" t="s">
        <v>669</v>
      </c>
      <c r="B23" s="259"/>
      <c r="C23" s="44">
        <v>251</v>
      </c>
      <c r="D23" s="45"/>
      <c r="E23" s="258">
        <v>0</v>
      </c>
      <c r="F23" s="350">
        <f t="shared" si="7"/>
        <v>0</v>
      </c>
      <c r="G23" s="304">
        <v>0</v>
      </c>
      <c r="H23" s="304">
        <v>0</v>
      </c>
      <c r="I23" s="304">
        <v>0</v>
      </c>
      <c r="J23" s="304">
        <v>0</v>
      </c>
      <c r="K23" s="304">
        <v>0</v>
      </c>
      <c r="L23" s="304"/>
      <c r="M23" s="305">
        <v>0</v>
      </c>
      <c r="N23" s="318"/>
    </row>
    <row r="24" spans="1:14" s="302" customFormat="1" ht="29">
      <c r="A24" s="259" t="s">
        <v>936</v>
      </c>
      <c r="B24" s="260" t="s">
        <v>538</v>
      </c>
      <c r="C24" s="261">
        <v>251</v>
      </c>
      <c r="D24" s="262"/>
      <c r="E24" s="311">
        <v>60</v>
      </c>
      <c r="F24" s="350">
        <f>SUM(G24:M24)</f>
        <v>60</v>
      </c>
      <c r="G24" s="312"/>
      <c r="H24" s="312"/>
      <c r="I24" s="312"/>
      <c r="J24" s="312"/>
      <c r="K24" s="312">
        <v>60</v>
      </c>
      <c r="L24" s="312">
        <v>0</v>
      </c>
      <c r="M24" s="313"/>
      <c r="N24" s="318" t="s">
        <v>987</v>
      </c>
    </row>
    <row r="25" spans="1:14" s="302" customFormat="1">
      <c r="A25" s="259" t="s">
        <v>670</v>
      </c>
      <c r="B25" s="259"/>
      <c r="C25" s="44">
        <v>251</v>
      </c>
      <c r="D25" s="45"/>
      <c r="E25" s="258">
        <v>0</v>
      </c>
      <c r="F25" s="350">
        <f>SUM(G25:M25)</f>
        <v>0</v>
      </c>
      <c r="G25" s="304">
        <v>0</v>
      </c>
      <c r="H25" s="304">
        <v>0</v>
      </c>
      <c r="I25" s="312">
        <v>0</v>
      </c>
      <c r="J25" s="312">
        <v>0</v>
      </c>
      <c r="K25" s="312">
        <v>0</v>
      </c>
      <c r="L25" s="312">
        <v>0</v>
      </c>
      <c r="M25" s="313">
        <v>0</v>
      </c>
      <c r="N25" s="318"/>
    </row>
    <row r="26" spans="1:14" s="302" customFormat="1" ht="39.5" customHeight="1">
      <c r="A26" s="71" t="s">
        <v>937</v>
      </c>
      <c r="B26" s="371" t="s">
        <v>895</v>
      </c>
      <c r="C26" s="44">
        <v>251</v>
      </c>
      <c r="D26" s="45"/>
      <c r="E26" s="258">
        <v>280</v>
      </c>
      <c r="F26" s="350">
        <f>SUM(G26:M26)</f>
        <v>266</v>
      </c>
      <c r="G26" s="304">
        <v>0</v>
      </c>
      <c r="H26" s="304">
        <v>0</v>
      </c>
      <c r="I26" s="312">
        <v>0</v>
      </c>
      <c r="J26" s="312">
        <v>0</v>
      </c>
      <c r="K26" s="312">
        <f>280-14</f>
        <v>266</v>
      </c>
      <c r="L26" s="312">
        <v>0</v>
      </c>
      <c r="M26" s="313">
        <v>0</v>
      </c>
      <c r="N26" s="320" t="s">
        <v>1099</v>
      </c>
    </row>
    <row r="27" spans="1:14" s="302" customFormat="1" ht="72.5">
      <c r="A27" s="259" t="s">
        <v>1456</v>
      </c>
      <c r="B27" s="259" t="s">
        <v>1457</v>
      </c>
      <c r="C27" s="44">
        <v>251</v>
      </c>
      <c r="D27" s="45"/>
      <c r="E27" s="258">
        <v>0</v>
      </c>
      <c r="F27" s="350">
        <v>500</v>
      </c>
      <c r="G27" s="304">
        <v>0</v>
      </c>
      <c r="H27" s="304">
        <v>0</v>
      </c>
      <c r="I27" s="304">
        <v>0</v>
      </c>
      <c r="J27" s="304">
        <v>0</v>
      </c>
      <c r="K27" s="304">
        <v>500</v>
      </c>
      <c r="L27" s="304">
        <v>0</v>
      </c>
      <c r="M27" s="305"/>
      <c r="N27" s="318" t="s">
        <v>1458</v>
      </c>
    </row>
    <row r="28" spans="1:14">
      <c r="A28" s="259" t="s">
        <v>235</v>
      </c>
      <c r="B28" s="36"/>
      <c r="C28" s="44">
        <v>251</v>
      </c>
      <c r="D28" s="45"/>
      <c r="E28" s="258">
        <v>0</v>
      </c>
      <c r="F28" s="303">
        <f t="shared" si="7"/>
        <v>0</v>
      </c>
      <c r="G28" s="304">
        <v>0</v>
      </c>
      <c r="H28" s="304">
        <v>0</v>
      </c>
      <c r="I28" s="304">
        <v>0</v>
      </c>
      <c r="J28" s="304">
        <v>0</v>
      </c>
      <c r="K28" s="304">
        <v>0</v>
      </c>
      <c r="L28" s="304">
        <v>0</v>
      </c>
      <c r="M28" s="305">
        <v>0</v>
      </c>
      <c r="N28" s="319"/>
    </row>
    <row r="29" spans="1:14">
      <c r="A29" s="259" t="s">
        <v>242</v>
      </c>
      <c r="B29" s="36"/>
      <c r="C29" s="44">
        <v>252</v>
      </c>
      <c r="D29" s="45"/>
      <c r="E29" s="258">
        <v>0</v>
      </c>
      <c r="F29" s="303">
        <f t="shared" si="7"/>
        <v>0</v>
      </c>
      <c r="G29" s="304">
        <v>0</v>
      </c>
      <c r="H29" s="304">
        <v>0</v>
      </c>
      <c r="I29" s="304">
        <v>0</v>
      </c>
      <c r="J29" s="304">
        <v>0</v>
      </c>
      <c r="K29" s="304">
        <v>0</v>
      </c>
      <c r="L29" s="304">
        <v>0</v>
      </c>
      <c r="M29" s="305">
        <v>0</v>
      </c>
      <c r="N29" s="348"/>
    </row>
    <row r="30" spans="1:14">
      <c r="A30" s="259" t="s">
        <v>243</v>
      </c>
      <c r="B30" s="36"/>
      <c r="C30" s="44">
        <v>252</v>
      </c>
      <c r="D30" s="45"/>
      <c r="E30" s="258">
        <v>0</v>
      </c>
      <c r="F30" s="303">
        <f t="shared" si="7"/>
        <v>0</v>
      </c>
      <c r="G30" s="304">
        <v>0</v>
      </c>
      <c r="H30" s="304">
        <v>0</v>
      </c>
      <c r="I30" s="304">
        <v>0</v>
      </c>
      <c r="J30" s="304">
        <v>0</v>
      </c>
      <c r="K30" s="304">
        <v>0</v>
      </c>
      <c r="L30" s="304">
        <v>0</v>
      </c>
      <c r="M30" s="305">
        <v>0</v>
      </c>
      <c r="N30" s="348"/>
    </row>
    <row r="31" spans="1:14">
      <c r="A31" s="259" t="s">
        <v>244</v>
      </c>
      <c r="B31" s="36"/>
      <c r="C31" s="44">
        <v>253</v>
      </c>
      <c r="D31" s="259"/>
      <c r="E31" s="258">
        <v>0</v>
      </c>
      <c r="F31" s="303">
        <f t="shared" si="7"/>
        <v>0</v>
      </c>
      <c r="G31" s="304">
        <v>0</v>
      </c>
      <c r="H31" s="304">
        <v>0</v>
      </c>
      <c r="I31" s="304">
        <v>0</v>
      </c>
      <c r="J31" s="304">
        <v>0</v>
      </c>
      <c r="K31" s="304">
        <v>0</v>
      </c>
      <c r="L31" s="304">
        <v>0</v>
      </c>
      <c r="M31" s="305">
        <v>0</v>
      </c>
      <c r="N31" s="348"/>
    </row>
    <row r="32" spans="1:14">
      <c r="A32" s="259" t="s">
        <v>245</v>
      </c>
      <c r="B32" s="36"/>
      <c r="C32" s="44">
        <v>255</v>
      </c>
      <c r="D32" s="259"/>
      <c r="E32" s="258">
        <v>0</v>
      </c>
      <c r="F32" s="303">
        <f t="shared" si="7"/>
        <v>0</v>
      </c>
      <c r="G32" s="304">
        <v>0</v>
      </c>
      <c r="H32" s="304">
        <v>0</v>
      </c>
      <c r="I32" s="304">
        <v>0</v>
      </c>
      <c r="J32" s="304">
        <v>0</v>
      </c>
      <c r="K32" s="304">
        <v>0</v>
      </c>
      <c r="L32" s="304">
        <v>0</v>
      </c>
      <c r="M32" s="305">
        <v>0</v>
      </c>
      <c r="N32" s="348"/>
    </row>
    <row r="33" spans="1:14">
      <c r="A33" s="259" t="s">
        <v>246</v>
      </c>
      <c r="B33" s="36"/>
      <c r="C33" s="44">
        <v>256</v>
      </c>
      <c r="D33" s="259"/>
      <c r="E33" s="258">
        <v>0</v>
      </c>
      <c r="F33" s="303">
        <f t="shared" si="7"/>
        <v>0</v>
      </c>
      <c r="G33" s="304">
        <v>0</v>
      </c>
      <c r="H33" s="304">
        <v>0</v>
      </c>
      <c r="I33" s="304">
        <v>0</v>
      </c>
      <c r="J33" s="304">
        <v>0</v>
      </c>
      <c r="K33" s="304">
        <v>0</v>
      </c>
      <c r="L33" s="304">
        <v>0</v>
      </c>
      <c r="M33" s="305">
        <v>0</v>
      </c>
      <c r="N33" s="348"/>
    </row>
    <row r="34" spans="1:14">
      <c r="A34" s="259" t="s">
        <v>247</v>
      </c>
      <c r="B34" s="36"/>
      <c r="C34" s="44">
        <v>257</v>
      </c>
      <c r="D34" s="259"/>
      <c r="E34" s="258">
        <v>0</v>
      </c>
      <c r="F34" s="303">
        <f t="shared" si="7"/>
        <v>0</v>
      </c>
      <c r="G34" s="304">
        <v>0</v>
      </c>
      <c r="H34" s="304">
        <v>0</v>
      </c>
      <c r="I34" s="304">
        <v>0</v>
      </c>
      <c r="J34" s="304">
        <v>0</v>
      </c>
      <c r="K34" s="304">
        <v>0</v>
      </c>
      <c r="L34" s="304">
        <v>0</v>
      </c>
      <c r="M34" s="305">
        <v>0</v>
      </c>
      <c r="N34" s="407"/>
    </row>
    <row r="35" spans="1:14" ht="29">
      <c r="A35" s="259" t="s">
        <v>248</v>
      </c>
      <c r="B35" s="36"/>
      <c r="C35" s="44" t="s">
        <v>249</v>
      </c>
      <c r="D35" s="259"/>
      <c r="E35" s="258">
        <v>4</v>
      </c>
      <c r="F35" s="303">
        <f t="shared" si="7"/>
        <v>4</v>
      </c>
      <c r="G35" s="304">
        <v>0</v>
      </c>
      <c r="H35" s="304">
        <v>0</v>
      </c>
      <c r="I35" s="304">
        <v>0</v>
      </c>
      <c r="J35" s="304">
        <v>0</v>
      </c>
      <c r="K35" s="304">
        <f>8-4</f>
        <v>4</v>
      </c>
      <c r="L35" s="304">
        <v>0</v>
      </c>
      <c r="M35" s="305">
        <v>0</v>
      </c>
      <c r="N35" s="318" t="s">
        <v>671</v>
      </c>
    </row>
    <row r="36" spans="1:14" s="370" customFormat="1" ht="29">
      <c r="A36" s="260" t="s">
        <v>250</v>
      </c>
      <c r="B36" s="36"/>
      <c r="C36" s="261" t="s">
        <v>251</v>
      </c>
      <c r="D36" s="260"/>
      <c r="E36" s="258">
        <v>10</v>
      </c>
      <c r="F36" s="303">
        <f>SUM(G36:M36)</f>
        <v>10</v>
      </c>
      <c r="G36" s="304">
        <v>0</v>
      </c>
      <c r="H36" s="304">
        <v>0</v>
      </c>
      <c r="I36" s="304">
        <v>0</v>
      </c>
      <c r="J36" s="304">
        <v>0</v>
      </c>
      <c r="K36" s="304">
        <v>10</v>
      </c>
      <c r="L36" s="304">
        <v>0</v>
      </c>
      <c r="M36" s="305">
        <v>0</v>
      </c>
      <c r="N36" s="318" t="s">
        <v>1299</v>
      </c>
    </row>
    <row r="37" spans="1:14">
      <c r="A37" s="260" t="s">
        <v>252</v>
      </c>
      <c r="B37" s="378"/>
      <c r="C37" s="261" t="s">
        <v>253</v>
      </c>
      <c r="D37" s="260"/>
      <c r="E37" s="311">
        <v>0</v>
      </c>
      <c r="F37" s="303">
        <f>SUM(G37:M37)</f>
        <v>0</v>
      </c>
      <c r="G37" s="163">
        <v>0</v>
      </c>
      <c r="H37" s="163">
        <v>0</v>
      </c>
      <c r="I37" s="163">
        <v>0</v>
      </c>
      <c r="J37" s="163">
        <v>0</v>
      </c>
      <c r="K37" s="163">
        <f>-93+93</f>
        <v>0</v>
      </c>
      <c r="L37" s="163">
        <v>0</v>
      </c>
      <c r="M37" s="164">
        <v>0</v>
      </c>
      <c r="N37" s="318"/>
    </row>
    <row r="38" spans="1:14">
      <c r="A38" s="40" t="s">
        <v>254</v>
      </c>
      <c r="B38" s="260"/>
      <c r="C38" s="261"/>
      <c r="D38" s="262"/>
      <c r="E38" s="42">
        <f t="shared" ref="E38:M38" si="8">SUM(E19:E37)</f>
        <v>386</v>
      </c>
      <c r="F38" s="43">
        <f t="shared" si="8"/>
        <v>843</v>
      </c>
      <c r="G38" s="43">
        <f t="shared" si="8"/>
        <v>0</v>
      </c>
      <c r="H38" s="43">
        <f t="shared" si="8"/>
        <v>0</v>
      </c>
      <c r="I38" s="43">
        <f t="shared" si="8"/>
        <v>0</v>
      </c>
      <c r="J38" s="43">
        <f t="shared" si="8"/>
        <v>0</v>
      </c>
      <c r="K38" s="43">
        <f t="shared" si="8"/>
        <v>843</v>
      </c>
      <c r="L38" s="43">
        <f t="shared" si="8"/>
        <v>0</v>
      </c>
      <c r="M38" s="43">
        <f t="shared" si="8"/>
        <v>0</v>
      </c>
      <c r="N38" s="348"/>
    </row>
    <row r="39" spans="1:14" s="149" customFormat="1" ht="29">
      <c r="A39" s="40" t="s">
        <v>255</v>
      </c>
      <c r="B39" s="51"/>
      <c r="C39" s="147"/>
      <c r="D39" s="262"/>
      <c r="E39" s="236">
        <v>0</v>
      </c>
      <c r="F39" s="235">
        <f>SUM(G39:L39)</f>
        <v>546</v>
      </c>
      <c r="G39" s="235">
        <v>0</v>
      </c>
      <c r="H39" s="235">
        <v>0</v>
      </c>
      <c r="I39" s="235">
        <v>0</v>
      </c>
      <c r="J39" s="235">
        <v>0</v>
      </c>
      <c r="K39" s="235">
        <v>486</v>
      </c>
      <c r="L39" s="235">
        <v>60</v>
      </c>
      <c r="M39" s="235"/>
      <c r="N39" s="318" t="s">
        <v>1459</v>
      </c>
    </row>
    <row r="40" spans="1:14">
      <c r="A40" s="40" t="s">
        <v>256</v>
      </c>
      <c r="B40" s="46"/>
      <c r="C40" s="47"/>
      <c r="D40" s="48">
        <f>D38+D17+D13</f>
        <v>0.12</v>
      </c>
      <c r="E40" s="42">
        <f t="shared" ref="E40:M40" si="9">E38+E17+E13-E39</f>
        <v>663</v>
      </c>
      <c r="F40" s="17">
        <f t="shared" si="9"/>
        <v>395</v>
      </c>
      <c r="G40" s="17">
        <f t="shared" si="9"/>
        <v>0</v>
      </c>
      <c r="H40" s="17">
        <f t="shared" si="9"/>
        <v>0</v>
      </c>
      <c r="I40" s="17">
        <f t="shared" si="9"/>
        <v>0</v>
      </c>
      <c r="J40" s="17">
        <f t="shared" si="9"/>
        <v>0</v>
      </c>
      <c r="K40" s="17">
        <f t="shared" si="9"/>
        <v>455</v>
      </c>
      <c r="L40" s="17">
        <f t="shared" si="9"/>
        <v>-60</v>
      </c>
      <c r="M40" s="17">
        <f t="shared" si="9"/>
        <v>0</v>
      </c>
      <c r="N40" s="346"/>
    </row>
    <row r="42" spans="1:14">
      <c r="A42" s="370"/>
      <c r="B42" s="370"/>
      <c r="C42" s="639"/>
      <c r="D42" s="370"/>
      <c r="E42" s="257"/>
      <c r="F42" s="370"/>
      <c r="G42" s="370"/>
      <c r="H42" s="370"/>
      <c r="I42" s="370"/>
      <c r="J42" s="370"/>
      <c r="K42" s="370"/>
      <c r="L42" s="370"/>
      <c r="M42" s="370"/>
      <c r="N42" s="370"/>
    </row>
    <row r="43" spans="1:14" s="370" customFormat="1">
      <c r="C43" s="639"/>
    </row>
    <row r="44" spans="1:14" s="370" customFormat="1">
      <c r="A44" s="877" t="s">
        <v>258</v>
      </c>
      <c r="B44" s="878"/>
      <c r="C44" s="639"/>
    </row>
    <row r="45" spans="1:14" s="370" customFormat="1">
      <c r="A45" s="553" t="s">
        <v>1009</v>
      </c>
      <c r="B45" s="554">
        <f>+E40</f>
        <v>663</v>
      </c>
      <c r="C45" s="639"/>
    </row>
    <row r="46" spans="1:14" s="370" customFormat="1">
      <c r="A46" s="557" t="s">
        <v>1010</v>
      </c>
      <c r="B46" s="558">
        <f>+F40</f>
        <v>395</v>
      </c>
      <c r="C46" s="639"/>
    </row>
    <row r="47" spans="1:14" s="370" customFormat="1">
      <c r="A47" s="559" t="s">
        <v>259</v>
      </c>
      <c r="B47" s="560">
        <f>B46-B45</f>
        <v>-268</v>
      </c>
      <c r="C47" s="639"/>
    </row>
    <row r="48" spans="1:14" s="370" customFormat="1">
      <c r="A48" s="559" t="s">
        <v>260</v>
      </c>
      <c r="B48" s="561">
        <f>B47/B45</f>
        <v>-0.40422322775263952</v>
      </c>
      <c r="C48" s="636"/>
    </row>
    <row r="49" spans="1:8" s="370" customFormat="1">
      <c r="A49" s="562"/>
      <c r="B49" s="556"/>
      <c r="C49" s="661"/>
      <c r="E49" s="257"/>
    </row>
    <row r="50" spans="1:8" s="370" customFormat="1" ht="15.5">
      <c r="A50" s="1071" t="s">
        <v>551</v>
      </c>
      <c r="B50" s="1071"/>
      <c r="C50" s="1071"/>
      <c r="D50" s="1071"/>
      <c r="E50" s="1071"/>
      <c r="F50" s="1071"/>
      <c r="G50" s="1071"/>
      <c r="H50" s="1071"/>
    </row>
    <row r="51" spans="1:8" s="370" customFormat="1">
      <c r="A51" s="1072" t="s">
        <v>552</v>
      </c>
      <c r="B51" s="1072"/>
      <c r="C51" s="1072"/>
      <c r="D51" s="1072"/>
      <c r="E51" s="1072"/>
      <c r="F51" s="1072"/>
      <c r="G51" s="1072"/>
      <c r="H51" s="1072"/>
    </row>
    <row r="52" spans="1:8" s="370" customFormat="1" ht="40.9" customHeight="1">
      <c r="A52" s="1072" t="s">
        <v>1300</v>
      </c>
      <c r="B52" s="1072"/>
      <c r="C52" s="1072"/>
      <c r="D52" s="1072"/>
      <c r="E52" s="1072"/>
      <c r="F52" s="1072"/>
      <c r="G52" s="1072"/>
      <c r="H52" s="1072"/>
    </row>
    <row r="53" spans="1:8" s="370" customFormat="1">
      <c r="A53" s="1076"/>
      <c r="B53" s="1076"/>
      <c r="C53" s="1076"/>
      <c r="D53" s="1076"/>
      <c r="E53" s="1076"/>
      <c r="F53" s="1076"/>
      <c r="G53" s="1076"/>
      <c r="H53" s="1076"/>
    </row>
    <row r="54" spans="1:8" s="370" customFormat="1">
      <c r="A54" s="1072" t="s">
        <v>553</v>
      </c>
      <c r="B54" s="1072"/>
      <c r="C54" s="1072"/>
      <c r="D54" s="1072"/>
      <c r="E54" s="1072"/>
      <c r="F54" s="1072"/>
      <c r="G54" s="1072"/>
      <c r="H54" s="1072"/>
    </row>
    <row r="55" spans="1:8" s="370" customFormat="1" ht="74.25" customHeight="1">
      <c r="A55" s="1073" t="s">
        <v>938</v>
      </c>
      <c r="B55" s="1074"/>
      <c r="C55" s="1074"/>
      <c r="D55" s="1074"/>
      <c r="E55" s="1074"/>
      <c r="F55" s="1074"/>
      <c r="G55" s="1074"/>
      <c r="H55" s="1075"/>
    </row>
    <row r="56" spans="1:8" s="370" customFormat="1">
      <c r="A56" s="1076"/>
      <c r="B56" s="1076"/>
      <c r="C56" s="1076"/>
      <c r="D56" s="1076"/>
      <c r="E56" s="1076"/>
      <c r="F56" s="1076"/>
      <c r="G56" s="1076"/>
      <c r="H56" s="1076"/>
    </row>
    <row r="57" spans="1:8" s="370" customFormat="1">
      <c r="A57" s="1072" t="s">
        <v>554</v>
      </c>
      <c r="B57" s="1072"/>
      <c r="C57" s="1072"/>
      <c r="D57" s="1072"/>
      <c r="E57" s="1072"/>
      <c r="F57" s="1072"/>
      <c r="G57" s="1072"/>
      <c r="H57" s="1072"/>
    </row>
    <row r="58" spans="1:8" s="370" customFormat="1" ht="39.5" customHeight="1">
      <c r="A58" s="1073" t="s">
        <v>939</v>
      </c>
      <c r="B58" s="1074"/>
      <c r="C58" s="1074"/>
      <c r="D58" s="1074"/>
      <c r="E58" s="1074"/>
      <c r="F58" s="1074"/>
      <c r="G58" s="1074"/>
      <c r="H58" s="1075"/>
    </row>
    <row r="59" spans="1:8" s="370" customFormat="1">
      <c r="A59" s="1076" t="s">
        <v>555</v>
      </c>
      <c r="B59" s="1076"/>
      <c r="C59" s="1076"/>
      <c r="D59" s="1076"/>
      <c r="E59" s="1076"/>
      <c r="F59" s="1076"/>
      <c r="G59" s="1076"/>
      <c r="H59" s="1076"/>
    </row>
    <row r="60" spans="1:8" s="370" customFormat="1">
      <c r="A60" s="1072" t="s">
        <v>556</v>
      </c>
      <c r="B60" s="1072"/>
      <c r="C60" s="1072"/>
      <c r="D60" s="1072"/>
      <c r="E60" s="1072"/>
      <c r="F60" s="1072"/>
      <c r="G60" s="1072"/>
      <c r="H60" s="1072"/>
    </row>
    <row r="61" spans="1:8" s="370" customFormat="1" ht="108.75" customHeight="1">
      <c r="A61" s="1073" t="s">
        <v>1301</v>
      </c>
      <c r="B61" s="1074"/>
      <c r="C61" s="1074"/>
      <c r="D61" s="1074"/>
      <c r="E61" s="1074"/>
      <c r="F61" s="1074"/>
      <c r="G61" s="1074"/>
      <c r="H61" s="1075"/>
    </row>
    <row r="62" spans="1:8" s="370" customFormat="1">
      <c r="C62" s="728"/>
    </row>
    <row r="63" spans="1:8" s="370" customFormat="1">
      <c r="C63" s="728"/>
    </row>
    <row r="64" spans="1:8" s="370" customFormat="1">
      <c r="C64" s="728"/>
    </row>
    <row r="65" spans="3:3" s="370" customFormat="1">
      <c r="C65" s="728"/>
    </row>
    <row r="66" spans="3:3" s="370" customFormat="1">
      <c r="C66" s="728"/>
    </row>
    <row r="67" spans="3:3" s="370" customFormat="1">
      <c r="C67" s="728"/>
    </row>
    <row r="68" spans="3:3" s="370" customFormat="1">
      <c r="C68" s="728"/>
    </row>
    <row r="69" spans="3:3" s="370" customFormat="1">
      <c r="C69" s="728"/>
    </row>
    <row r="70" spans="3:3" s="370" customFormat="1">
      <c r="C70" s="728"/>
    </row>
    <row r="71" spans="3:3" s="370" customFormat="1">
      <c r="C71" s="728"/>
    </row>
    <row r="72" spans="3:3" s="370" customFormat="1">
      <c r="C72" s="728"/>
    </row>
    <row r="73" spans="3:3" s="370" customFormat="1">
      <c r="C73" s="728"/>
    </row>
    <row r="74" spans="3:3" s="370" customFormat="1">
      <c r="C74" s="728"/>
    </row>
    <row r="75" spans="3:3" s="370" customFormat="1">
      <c r="C75" s="728"/>
    </row>
    <row r="76" spans="3:3" s="370" customFormat="1">
      <c r="C76" s="728"/>
    </row>
    <row r="77" spans="3:3" s="370" customFormat="1">
      <c r="C77" s="728"/>
    </row>
    <row r="78" spans="3:3" s="370" customFormat="1">
      <c r="C78" s="728"/>
    </row>
    <row r="79" spans="3:3" s="370" customFormat="1">
      <c r="C79" s="728"/>
    </row>
    <row r="80" spans="3:3" s="370" customFormat="1">
      <c r="C80" s="728"/>
    </row>
    <row r="81" spans="3:3" s="370" customFormat="1">
      <c r="C81" s="728"/>
    </row>
    <row r="82" spans="3:3" s="370" customFormat="1">
      <c r="C82" s="661"/>
    </row>
    <row r="83" spans="3:3" s="370" customFormat="1">
      <c r="C83" s="661"/>
    </row>
    <row r="84" spans="3:3" s="370" customFormat="1">
      <c r="C84" s="661"/>
    </row>
    <row r="85" spans="3:3" s="370" customFormat="1">
      <c r="C85" s="661"/>
    </row>
    <row r="86" spans="3:3" s="370" customFormat="1">
      <c r="C86" s="661"/>
    </row>
    <row r="87" spans="3:3" s="370" customFormat="1">
      <c r="C87" s="661"/>
    </row>
    <row r="88" spans="3:3" s="370" customFormat="1">
      <c r="C88" s="661"/>
    </row>
    <row r="89" spans="3:3" s="370" customFormat="1">
      <c r="C89" s="661"/>
    </row>
    <row r="90" spans="3:3" s="370" customFormat="1">
      <c r="C90" s="661"/>
    </row>
    <row r="91" spans="3:3" s="370" customFormat="1">
      <c r="C91" s="661"/>
    </row>
    <row r="92" spans="3:3" s="370" customFormat="1">
      <c r="C92" s="661"/>
    </row>
    <row r="93" spans="3:3" s="370" customFormat="1">
      <c r="C93" s="661"/>
    </row>
    <row r="94" spans="3:3" s="370" customFormat="1">
      <c r="C94" s="661"/>
    </row>
    <row r="95" spans="3:3" s="370" customFormat="1">
      <c r="C95" s="661"/>
    </row>
    <row r="96" spans="3:3" s="370" customFormat="1">
      <c r="C96" s="661"/>
    </row>
    <row r="97" spans="3:3" s="370" customFormat="1">
      <c r="C97" s="661"/>
    </row>
    <row r="98" spans="3:3" s="370" customFormat="1">
      <c r="C98" s="661"/>
    </row>
    <row r="99" spans="3:3" s="370" customFormat="1">
      <c r="C99" s="661"/>
    </row>
    <row r="100" spans="3:3" s="370" customFormat="1">
      <c r="C100" s="661"/>
    </row>
    <row r="101" spans="3:3" s="370" customFormat="1">
      <c r="C101" s="661"/>
    </row>
    <row r="102" spans="3:3" s="370" customFormat="1">
      <c r="C102" s="661"/>
    </row>
    <row r="103" spans="3:3" s="370" customFormat="1">
      <c r="C103" s="661"/>
    </row>
    <row r="104" spans="3:3" s="370" customFormat="1">
      <c r="C104" s="661"/>
    </row>
    <row r="105" spans="3:3" s="370" customFormat="1">
      <c r="C105" s="661"/>
    </row>
    <row r="106" spans="3:3" s="370" customFormat="1">
      <c r="C106" s="661"/>
    </row>
    <row r="107" spans="3:3" s="370" customFormat="1">
      <c r="C107" s="661"/>
    </row>
    <row r="108" spans="3:3" s="370" customFormat="1">
      <c r="C108" s="661"/>
    </row>
    <row r="109" spans="3:3" s="370" customFormat="1">
      <c r="C109" s="661"/>
    </row>
    <row r="110" spans="3:3" s="370" customFormat="1">
      <c r="C110" s="661"/>
    </row>
    <row r="111" spans="3:3" s="370" customFormat="1">
      <c r="C111" s="661"/>
    </row>
    <row r="112" spans="3:3" s="370" customFormat="1">
      <c r="C112" s="661"/>
    </row>
    <row r="113" spans="3:3" s="370" customFormat="1">
      <c r="C113" s="661"/>
    </row>
    <row r="114" spans="3:3" s="370" customFormat="1">
      <c r="C114" s="661"/>
    </row>
    <row r="115" spans="3:3" s="370" customFormat="1">
      <c r="C115" s="661"/>
    </row>
    <row r="116" spans="3:3" s="370" customFormat="1">
      <c r="C116" s="661"/>
    </row>
    <row r="117" spans="3:3" s="370" customFormat="1">
      <c r="C117" s="661"/>
    </row>
    <row r="118" spans="3:3" s="370" customFormat="1">
      <c r="C118" s="661"/>
    </row>
    <row r="119" spans="3:3" s="370" customFormat="1">
      <c r="C119" s="661"/>
    </row>
    <row r="120" spans="3:3" s="370" customFormat="1">
      <c r="C120" s="661"/>
    </row>
    <row r="121" spans="3:3" s="370" customFormat="1">
      <c r="C121" s="661"/>
    </row>
    <row r="122" spans="3:3" s="370" customFormat="1">
      <c r="C122" s="661"/>
    </row>
    <row r="123" spans="3:3" s="370" customFormat="1">
      <c r="C123" s="661"/>
    </row>
    <row r="124" spans="3:3" s="370" customFormat="1">
      <c r="C124" s="661"/>
    </row>
    <row r="125" spans="3:3" s="370" customFormat="1">
      <c r="C125" s="661"/>
    </row>
    <row r="126" spans="3:3" s="370" customFormat="1">
      <c r="C126" s="661"/>
    </row>
    <row r="127" spans="3:3" s="370" customFormat="1">
      <c r="C127" s="661"/>
    </row>
    <row r="128" spans="3:3" s="370" customFormat="1">
      <c r="C128" s="661"/>
    </row>
    <row r="129" spans="3:3" s="370" customFormat="1">
      <c r="C129" s="661"/>
    </row>
    <row r="130" spans="3:3" s="370" customFormat="1">
      <c r="C130" s="661"/>
    </row>
    <row r="131" spans="3:3" s="370" customFormat="1">
      <c r="C131" s="661"/>
    </row>
    <row r="132" spans="3:3" s="370" customFormat="1">
      <c r="C132" s="661"/>
    </row>
    <row r="133" spans="3:3" s="370" customFormat="1">
      <c r="C133" s="661"/>
    </row>
    <row r="134" spans="3:3" s="370" customFormat="1">
      <c r="C134" s="661"/>
    </row>
    <row r="135" spans="3:3" s="370" customFormat="1">
      <c r="C135" s="661"/>
    </row>
    <row r="136" spans="3:3" s="370" customFormat="1">
      <c r="C136" s="661"/>
    </row>
    <row r="137" spans="3:3" s="370" customFormat="1">
      <c r="C137" s="661"/>
    </row>
    <row r="138" spans="3:3" s="370" customFormat="1">
      <c r="C138" s="661"/>
    </row>
    <row r="139" spans="3:3" s="370" customFormat="1">
      <c r="C139" s="661"/>
    </row>
    <row r="140" spans="3:3" s="370" customFormat="1">
      <c r="C140" s="661"/>
    </row>
    <row r="141" spans="3:3" s="370" customFormat="1">
      <c r="C141" s="661"/>
    </row>
    <row r="142" spans="3:3" s="370" customFormat="1">
      <c r="C142" s="661"/>
    </row>
    <row r="143" spans="3:3" s="370" customFormat="1">
      <c r="C143" s="661"/>
    </row>
    <row r="144" spans="3:3" s="370" customFormat="1">
      <c r="C144" s="661"/>
    </row>
    <row r="145" spans="3:3" s="370" customFormat="1">
      <c r="C145" s="661"/>
    </row>
    <row r="146" spans="3:3" s="370" customFormat="1">
      <c r="C146" s="661"/>
    </row>
    <row r="147" spans="3:3" s="370" customFormat="1">
      <c r="C147" s="661"/>
    </row>
    <row r="148" spans="3:3" s="370" customFormat="1">
      <c r="C148" s="661"/>
    </row>
    <row r="149" spans="3:3" s="370" customFormat="1">
      <c r="C149" s="661"/>
    </row>
    <row r="150" spans="3:3" s="370" customFormat="1">
      <c r="C150" s="661"/>
    </row>
    <row r="151" spans="3:3" s="370" customFormat="1">
      <c r="C151" s="661"/>
    </row>
    <row r="152" spans="3:3" s="370" customFormat="1">
      <c r="C152" s="661"/>
    </row>
    <row r="153" spans="3:3" s="370" customFormat="1">
      <c r="C153" s="661"/>
    </row>
    <row r="154" spans="3:3" s="370" customFormat="1">
      <c r="C154" s="661"/>
    </row>
    <row r="155" spans="3:3" s="370" customFormat="1">
      <c r="C155" s="661"/>
    </row>
    <row r="156" spans="3:3" s="370" customFormat="1">
      <c r="C156" s="661"/>
    </row>
    <row r="157" spans="3:3" s="370" customFormat="1">
      <c r="C157" s="661"/>
    </row>
    <row r="158" spans="3:3" s="370" customFormat="1">
      <c r="C158" s="661"/>
    </row>
    <row r="159" spans="3:3" s="370" customFormat="1">
      <c r="C159" s="661"/>
    </row>
    <row r="160" spans="3:3" s="370" customFormat="1">
      <c r="C160" s="661"/>
    </row>
    <row r="161" spans="3:3" s="370" customFormat="1">
      <c r="C161" s="661"/>
    </row>
    <row r="162" spans="3:3" s="370" customFormat="1">
      <c r="C162" s="661"/>
    </row>
    <row r="163" spans="3:3" s="370" customFormat="1">
      <c r="C163" s="661"/>
    </row>
    <row r="164" spans="3:3" s="370" customFormat="1">
      <c r="C164" s="661"/>
    </row>
    <row r="165" spans="3:3" s="370" customFormat="1">
      <c r="C165" s="661"/>
    </row>
    <row r="166" spans="3:3" s="370" customFormat="1">
      <c r="C166" s="661"/>
    </row>
    <row r="167" spans="3:3" s="370" customFormat="1">
      <c r="C167" s="661"/>
    </row>
    <row r="168" spans="3:3" s="370" customFormat="1">
      <c r="C168" s="661"/>
    </row>
    <row r="169" spans="3:3" s="370" customFormat="1">
      <c r="C169" s="661"/>
    </row>
    <row r="170" spans="3:3" s="370" customFormat="1">
      <c r="C170" s="661"/>
    </row>
    <row r="171" spans="3:3" s="370" customFormat="1">
      <c r="C171" s="661"/>
    </row>
    <row r="172" spans="3:3" s="370" customFormat="1">
      <c r="C172" s="661"/>
    </row>
    <row r="173" spans="3:3" s="370" customFormat="1">
      <c r="C173" s="661"/>
    </row>
  </sheetData>
  <mergeCells count="14">
    <mergeCell ref="A58:H58"/>
    <mergeCell ref="A59:H59"/>
    <mergeCell ref="A60:H60"/>
    <mergeCell ref="A61:H61"/>
    <mergeCell ref="A53:H53"/>
    <mergeCell ref="A54:H54"/>
    <mergeCell ref="A55:H55"/>
    <mergeCell ref="A56:H56"/>
    <mergeCell ref="A57:H57"/>
    <mergeCell ref="A1:N1"/>
    <mergeCell ref="A44:B44"/>
    <mergeCell ref="A50:H50"/>
    <mergeCell ref="A51:H51"/>
    <mergeCell ref="A52:H52"/>
  </mergeCells>
  <printOptions horizontalCentered="1"/>
  <pageMargins left="0.2" right="0.2" top="0.5" bottom="0.5" header="0.3" footer="0.3"/>
  <pageSetup scale="70" fitToHeight="0" orientation="landscape" r:id="rId1"/>
  <headerFooter>
    <oddHeader xml:space="preserve">&amp;CDRAFT NOT FOR DISTRIBUTION, INTERNAL USE ONLY
</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A56B-3E5E-49F4-B925-68BF9A83BF8C}">
  <sheetPr>
    <tabColor theme="2" tint="-0.249977111117893"/>
  </sheetPr>
  <dimension ref="A1:O97"/>
  <sheetViews>
    <sheetView zoomScaleNormal="100" workbookViewId="0">
      <selection sqref="A1:N1"/>
    </sheetView>
  </sheetViews>
  <sheetFormatPr defaultColWidth="9.1796875" defaultRowHeight="14.5"/>
  <cols>
    <col min="1" max="1" width="54" style="370" customWidth="1"/>
    <col min="2" max="2" width="17.81640625" style="370" customWidth="1"/>
    <col min="3" max="3" width="7.7265625" style="635" customWidth="1"/>
    <col min="4" max="4" width="8.7265625" style="370" customWidth="1"/>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ol min="14" max="14" width="45.81640625" style="539" customWidth="1"/>
    <col min="15" max="15" width="57.453125" style="370" customWidth="1"/>
    <col min="16" max="16384" width="9.1796875" style="370"/>
  </cols>
  <sheetData>
    <row r="1" spans="1:15" ht="15.5">
      <c r="A1" s="854" t="s">
        <v>270</v>
      </c>
      <c r="B1" s="854"/>
      <c r="C1" s="854"/>
      <c r="D1" s="854"/>
      <c r="E1" s="854"/>
      <c r="F1" s="854"/>
      <c r="G1" s="854"/>
      <c r="H1" s="854"/>
      <c r="I1" s="854"/>
      <c r="J1" s="854"/>
      <c r="K1" s="854"/>
      <c r="L1" s="854"/>
      <c r="M1" s="854"/>
      <c r="N1" s="854"/>
    </row>
    <row r="2" spans="1:15">
      <c r="A2" s="702" t="s">
        <v>672</v>
      </c>
      <c r="C2" s="639"/>
    </row>
    <row r="3" spans="1:15">
      <c r="A3" s="506" t="s">
        <v>819</v>
      </c>
      <c r="C3" s="639"/>
      <c r="E3" s="636"/>
      <c r="F3" s="451" t="s">
        <v>210</v>
      </c>
    </row>
    <row r="4" spans="1:15">
      <c r="A4" s="506" t="s">
        <v>820</v>
      </c>
      <c r="B4" s="31"/>
      <c r="C4" s="32"/>
      <c r="D4" s="31"/>
      <c r="E4" s="31"/>
    </row>
    <row r="5" spans="1:15" ht="29">
      <c r="A5" s="33"/>
      <c r="B5" s="33" t="s">
        <v>212</v>
      </c>
      <c r="C5" s="1" t="s">
        <v>213</v>
      </c>
      <c r="D5" s="2" t="s">
        <v>273</v>
      </c>
      <c r="E5" s="34" t="s">
        <v>734</v>
      </c>
      <c r="F5" s="35" t="s">
        <v>1010</v>
      </c>
      <c r="G5" s="35" t="s">
        <v>0</v>
      </c>
      <c r="H5" s="35" t="s">
        <v>1</v>
      </c>
      <c r="I5" s="35" t="s">
        <v>2</v>
      </c>
      <c r="J5" s="35" t="s">
        <v>3</v>
      </c>
      <c r="K5" s="35" t="s">
        <v>4</v>
      </c>
      <c r="L5" s="35" t="s">
        <v>26</v>
      </c>
      <c r="M5" s="2" t="s">
        <v>214</v>
      </c>
      <c r="N5" s="35" t="s">
        <v>523</v>
      </c>
    </row>
    <row r="6" spans="1:15">
      <c r="A6" s="125" t="s">
        <v>216</v>
      </c>
      <c r="B6" s="126"/>
      <c r="C6" s="127"/>
      <c r="D6" s="126"/>
      <c r="E6" s="126"/>
      <c r="F6" s="87"/>
      <c r="G6" s="87"/>
      <c r="H6" s="87"/>
      <c r="I6" s="87"/>
      <c r="J6" s="87"/>
      <c r="K6" s="87"/>
      <c r="L6" s="87"/>
      <c r="M6" s="87"/>
      <c r="N6" s="128"/>
    </row>
    <row r="7" spans="1:15">
      <c r="A7" s="57" t="s">
        <v>673</v>
      </c>
      <c r="B7" s="57" t="s">
        <v>674</v>
      </c>
      <c r="C7" s="607" t="s">
        <v>218</v>
      </c>
      <c r="D7" s="38"/>
      <c r="E7" s="258">
        <v>0</v>
      </c>
      <c r="F7" s="303">
        <f>SUM(G7:M7)</f>
        <v>0</v>
      </c>
      <c r="G7" s="304">
        <v>0</v>
      </c>
      <c r="H7" s="304">
        <v>0</v>
      </c>
      <c r="I7" s="304">
        <v>0</v>
      </c>
      <c r="J7" s="304">
        <v>0</v>
      </c>
      <c r="K7" s="304">
        <v>0</v>
      </c>
      <c r="L7" s="304">
        <v>0</v>
      </c>
      <c r="M7" s="305">
        <v>0</v>
      </c>
      <c r="N7" s="318" t="s">
        <v>675</v>
      </c>
    </row>
    <row r="8" spans="1:15">
      <c r="A8" s="57" t="s">
        <v>676</v>
      </c>
      <c r="B8" s="57" t="s">
        <v>538</v>
      </c>
      <c r="C8" s="607" t="s">
        <v>218</v>
      </c>
      <c r="D8" s="39"/>
      <c r="E8" s="258">
        <v>0</v>
      </c>
      <c r="F8" s="303">
        <f>SUM(G8:M8)</f>
        <v>0</v>
      </c>
      <c r="G8" s="304">
        <v>0</v>
      </c>
      <c r="H8" s="304">
        <v>0</v>
      </c>
      <c r="I8" s="304">
        <v>0</v>
      </c>
      <c r="J8" s="304">
        <v>0</v>
      </c>
      <c r="K8" s="304">
        <v>0</v>
      </c>
      <c r="L8" s="304">
        <v>0</v>
      </c>
      <c r="M8" s="305">
        <v>0</v>
      </c>
      <c r="N8" s="318" t="s">
        <v>805</v>
      </c>
      <c r="O8" s="370">
        <f>165/2</f>
        <v>82.5</v>
      </c>
    </row>
    <row r="9" spans="1:15">
      <c r="A9" s="57" t="s">
        <v>677</v>
      </c>
      <c r="B9" s="530" t="s">
        <v>538</v>
      </c>
      <c r="C9" s="607" t="s">
        <v>218</v>
      </c>
      <c r="D9" s="39"/>
      <c r="E9" s="258">
        <v>0</v>
      </c>
      <c r="F9" s="303">
        <f>SUM(G9:M9)</f>
        <v>0</v>
      </c>
      <c r="G9" s="304">
        <v>0</v>
      </c>
      <c r="H9" s="304">
        <v>0</v>
      </c>
      <c r="I9" s="304">
        <v>0</v>
      </c>
      <c r="J9" s="304">
        <v>0</v>
      </c>
      <c r="K9" s="304">
        <v>0</v>
      </c>
      <c r="L9" s="304">
        <v>0</v>
      </c>
      <c r="M9" s="305">
        <v>0</v>
      </c>
      <c r="N9" s="318" t="s">
        <v>805</v>
      </c>
    </row>
    <row r="10" spans="1:15">
      <c r="A10" s="57" t="s">
        <v>678</v>
      </c>
      <c r="B10" s="530" t="s">
        <v>538</v>
      </c>
      <c r="C10" s="607" t="s">
        <v>218</v>
      </c>
      <c r="D10" s="39"/>
      <c r="E10" s="258">
        <v>0</v>
      </c>
      <c r="F10" s="303">
        <f>SUM(G10:M10)</f>
        <v>0</v>
      </c>
      <c r="G10" s="304">
        <v>0</v>
      </c>
      <c r="H10" s="304">
        <v>0</v>
      </c>
      <c r="I10" s="304">
        <v>0</v>
      </c>
      <c r="J10" s="304">
        <v>0</v>
      </c>
      <c r="K10" s="304">
        <v>0</v>
      </c>
      <c r="L10" s="304">
        <v>0</v>
      </c>
      <c r="M10" s="305">
        <v>0</v>
      </c>
      <c r="N10" s="318" t="s">
        <v>805</v>
      </c>
    </row>
    <row r="11" spans="1:15">
      <c r="A11" s="57" t="s">
        <v>382</v>
      </c>
      <c r="B11" s="601"/>
      <c r="C11" s="607" t="s">
        <v>218</v>
      </c>
      <c r="D11" s="39"/>
      <c r="E11" s="258">
        <v>0</v>
      </c>
      <c r="F11" s="303">
        <f t="shared" ref="F11:F12" si="0">SUM(G11:M11)</f>
        <v>0</v>
      </c>
      <c r="G11" s="304">
        <v>0</v>
      </c>
      <c r="H11" s="304">
        <v>0</v>
      </c>
      <c r="I11" s="304">
        <v>0</v>
      </c>
      <c r="J11" s="304">
        <v>0</v>
      </c>
      <c r="K11" s="304">
        <v>0</v>
      </c>
      <c r="L11" s="304">
        <v>0</v>
      </c>
      <c r="M11" s="305">
        <v>0</v>
      </c>
      <c r="N11" s="318"/>
    </row>
    <row r="12" spans="1:15">
      <c r="A12" s="57" t="s">
        <v>382</v>
      </c>
      <c r="B12" s="601"/>
      <c r="C12" s="607" t="s">
        <v>218</v>
      </c>
      <c r="D12" s="39">
        <v>0</v>
      </c>
      <c r="E12" s="258">
        <v>0</v>
      </c>
      <c r="F12" s="303">
        <f t="shared" si="0"/>
        <v>0</v>
      </c>
      <c r="G12" s="304">
        <v>0</v>
      </c>
      <c r="H12" s="304">
        <v>0</v>
      </c>
      <c r="I12" s="304">
        <v>0</v>
      </c>
      <c r="J12" s="304">
        <v>0</v>
      </c>
      <c r="K12" s="304">
        <v>0</v>
      </c>
      <c r="L12" s="304">
        <v>0</v>
      </c>
      <c r="M12" s="305">
        <v>0</v>
      </c>
      <c r="N12" s="318"/>
    </row>
    <row r="13" spans="1:15">
      <c r="A13" s="622" t="s">
        <v>219</v>
      </c>
      <c r="B13" s="601"/>
      <c r="C13" s="621"/>
      <c r="D13" s="41">
        <f t="shared" ref="D13:M13" si="1">SUM(D7:D12)</f>
        <v>0</v>
      </c>
      <c r="E13" s="42">
        <f t="shared" si="1"/>
        <v>0</v>
      </c>
      <c r="F13" s="43">
        <f t="shared" si="1"/>
        <v>0</v>
      </c>
      <c r="G13" s="43">
        <f t="shared" si="1"/>
        <v>0</v>
      </c>
      <c r="H13" s="43">
        <f t="shared" si="1"/>
        <v>0</v>
      </c>
      <c r="I13" s="43">
        <f t="shared" si="1"/>
        <v>0</v>
      </c>
      <c r="J13" s="43">
        <f t="shared" si="1"/>
        <v>0</v>
      </c>
      <c r="K13" s="43">
        <f t="shared" si="1"/>
        <v>0</v>
      </c>
      <c r="L13" s="43">
        <f t="shared" si="1"/>
        <v>0</v>
      </c>
      <c r="M13" s="43">
        <f t="shared" si="1"/>
        <v>0</v>
      </c>
      <c r="N13" s="318"/>
    </row>
    <row r="14" spans="1:15">
      <c r="A14" s="125" t="s">
        <v>220</v>
      </c>
      <c r="B14" s="126"/>
      <c r="C14" s="127"/>
      <c r="D14" s="126"/>
      <c r="E14" s="126"/>
      <c r="F14" s="87"/>
      <c r="G14" s="87"/>
      <c r="H14" s="87"/>
      <c r="I14" s="87"/>
      <c r="J14" s="87"/>
      <c r="K14" s="87"/>
      <c r="L14" s="87"/>
      <c r="M14" s="87"/>
      <c r="N14" s="128"/>
    </row>
    <row r="15" spans="1:15">
      <c r="A15" s="530" t="s">
        <v>679</v>
      </c>
      <c r="B15" s="530"/>
      <c r="C15" s="597">
        <v>252</v>
      </c>
      <c r="D15" s="45"/>
      <c r="E15" s="258">
        <v>0</v>
      </c>
      <c r="F15" s="303">
        <f>SUM(G15:M15)</f>
        <v>0</v>
      </c>
      <c r="G15" s="304">
        <v>0</v>
      </c>
      <c r="H15" s="304">
        <v>0</v>
      </c>
      <c r="I15" s="304">
        <v>0</v>
      </c>
      <c r="J15" s="304">
        <v>0</v>
      </c>
      <c r="K15" s="304">
        <v>0</v>
      </c>
      <c r="L15" s="304">
        <v>0</v>
      </c>
      <c r="M15" s="305">
        <v>0</v>
      </c>
      <c r="N15" s="318"/>
    </row>
    <row r="16" spans="1:15">
      <c r="A16" s="530" t="s">
        <v>224</v>
      </c>
      <c r="B16" s="530"/>
      <c r="C16" s="597">
        <v>253</v>
      </c>
      <c r="D16" s="45"/>
      <c r="E16" s="258">
        <v>0</v>
      </c>
      <c r="F16" s="303">
        <f>SUM(G16:M16)</f>
        <v>0</v>
      </c>
      <c r="G16" s="304">
        <v>0</v>
      </c>
      <c r="H16" s="304">
        <v>0</v>
      </c>
      <c r="I16" s="304">
        <v>0</v>
      </c>
      <c r="J16" s="304">
        <v>0</v>
      </c>
      <c r="K16" s="304">
        <v>0</v>
      </c>
      <c r="L16" s="304">
        <v>0</v>
      </c>
      <c r="M16" s="305">
        <v>0</v>
      </c>
      <c r="N16" s="318"/>
    </row>
    <row r="17" spans="1:15">
      <c r="A17" s="530" t="s">
        <v>296</v>
      </c>
      <c r="B17" s="530"/>
      <c r="C17" s="597">
        <v>253</v>
      </c>
      <c r="D17" s="45"/>
      <c r="E17" s="258">
        <v>0</v>
      </c>
      <c r="F17" s="303">
        <f>SUM(G17:M17)</f>
        <v>0</v>
      </c>
      <c r="G17" s="304">
        <v>0</v>
      </c>
      <c r="H17" s="155"/>
      <c r="I17" s="304">
        <v>0</v>
      </c>
      <c r="J17" s="304">
        <v>0</v>
      </c>
      <c r="K17" s="304">
        <v>0</v>
      </c>
      <c r="L17" s="304">
        <v>0</v>
      </c>
      <c r="M17" s="305">
        <v>0</v>
      </c>
      <c r="N17" s="318"/>
    </row>
    <row r="18" spans="1:15">
      <c r="A18" s="530" t="s">
        <v>224</v>
      </c>
      <c r="B18" s="530"/>
      <c r="C18" s="597">
        <v>253</v>
      </c>
      <c r="D18" s="45"/>
      <c r="E18" s="258">
        <v>0</v>
      </c>
      <c r="F18" s="303">
        <f>SUM(G18:M18)</f>
        <v>0</v>
      </c>
      <c r="G18" s="304">
        <v>0</v>
      </c>
      <c r="H18" s="304">
        <v>0</v>
      </c>
      <c r="I18" s="304">
        <v>0</v>
      </c>
      <c r="J18" s="304">
        <v>0</v>
      </c>
      <c r="K18" s="304">
        <v>0</v>
      </c>
      <c r="L18" s="304">
        <v>0</v>
      </c>
      <c r="M18" s="305">
        <v>0</v>
      </c>
      <c r="N18" s="318"/>
    </row>
    <row r="19" spans="1:15">
      <c r="A19" s="622" t="s">
        <v>225</v>
      </c>
      <c r="B19" s="601"/>
      <c r="C19" s="621"/>
      <c r="D19" s="262">
        <f>SUM(D16:D18)</f>
        <v>0</v>
      </c>
      <c r="E19" s="42">
        <f t="shared" ref="E19:M19" si="2">SUM(E15:E18)</f>
        <v>0</v>
      </c>
      <c r="F19" s="43">
        <f t="shared" si="2"/>
        <v>0</v>
      </c>
      <c r="G19" s="43">
        <f t="shared" si="2"/>
        <v>0</v>
      </c>
      <c r="H19" s="43">
        <f t="shared" si="2"/>
        <v>0</v>
      </c>
      <c r="I19" s="43">
        <f t="shared" si="2"/>
        <v>0</v>
      </c>
      <c r="J19" s="43">
        <f t="shared" si="2"/>
        <v>0</v>
      </c>
      <c r="K19" s="43">
        <f t="shared" si="2"/>
        <v>0</v>
      </c>
      <c r="L19" s="43">
        <f t="shared" si="2"/>
        <v>0</v>
      </c>
      <c r="M19" s="43">
        <f t="shared" si="2"/>
        <v>0</v>
      </c>
      <c r="N19" s="318"/>
    </row>
    <row r="20" spans="1:15">
      <c r="A20" s="125" t="s">
        <v>279</v>
      </c>
      <c r="B20" s="126"/>
      <c r="C20" s="127"/>
      <c r="D20" s="126"/>
      <c r="E20" s="126"/>
      <c r="F20" s="87"/>
      <c r="G20" s="87"/>
      <c r="H20" s="87"/>
      <c r="I20" s="87"/>
      <c r="J20" s="87"/>
      <c r="K20" s="87"/>
      <c r="L20" s="87"/>
      <c r="M20" s="87"/>
      <c r="N20" s="128"/>
    </row>
    <row r="21" spans="1:15">
      <c r="A21" s="530" t="s">
        <v>227</v>
      </c>
      <c r="B21" s="57"/>
      <c r="C21" s="607" t="s">
        <v>228</v>
      </c>
      <c r="D21" s="38">
        <v>0</v>
      </c>
      <c r="E21" s="258">
        <v>30</v>
      </c>
      <c r="F21" s="303">
        <f t="shared" ref="F21:F38" si="3">SUM(G21:M21)</f>
        <v>0</v>
      </c>
      <c r="G21" s="304">
        <v>0</v>
      </c>
      <c r="H21" s="304">
        <v>0</v>
      </c>
      <c r="I21" s="304">
        <v>0</v>
      </c>
      <c r="J21" s="304">
        <v>0</v>
      </c>
      <c r="K21" s="304">
        <v>0</v>
      </c>
      <c r="L21" s="304">
        <v>0</v>
      </c>
      <c r="M21" s="305">
        <v>0</v>
      </c>
      <c r="N21" s="318"/>
      <c r="O21" s="370">
        <f>2500*8</f>
        <v>20000</v>
      </c>
    </row>
    <row r="22" spans="1:15" ht="43.5">
      <c r="A22" s="530" t="s">
        <v>680</v>
      </c>
      <c r="B22" s="57"/>
      <c r="C22" s="607" t="s">
        <v>228</v>
      </c>
      <c r="D22" s="38"/>
      <c r="E22" s="258">
        <v>26</v>
      </c>
      <c r="F22" s="303">
        <f t="shared" si="3"/>
        <v>26</v>
      </c>
      <c r="G22" s="304">
        <v>0</v>
      </c>
      <c r="H22" s="304">
        <v>0</v>
      </c>
      <c r="I22" s="304">
        <v>0</v>
      </c>
      <c r="J22" s="304">
        <v>0</v>
      </c>
      <c r="K22" s="304">
        <v>13</v>
      </c>
      <c r="L22" s="304">
        <v>0</v>
      </c>
      <c r="M22" s="305">
        <v>13</v>
      </c>
      <c r="N22" s="318" t="s">
        <v>681</v>
      </c>
    </row>
    <row r="23" spans="1:15">
      <c r="A23" s="530" t="s">
        <v>229</v>
      </c>
      <c r="B23" s="57"/>
      <c r="C23" s="597" t="s">
        <v>230</v>
      </c>
      <c r="D23" s="45"/>
      <c r="E23" s="258">
        <v>0</v>
      </c>
      <c r="F23" s="303">
        <f t="shared" si="3"/>
        <v>0</v>
      </c>
      <c r="G23" s="304">
        <v>0</v>
      </c>
      <c r="H23" s="304">
        <v>0</v>
      </c>
      <c r="I23" s="304">
        <v>0</v>
      </c>
      <c r="J23" s="304">
        <v>0</v>
      </c>
      <c r="K23" s="304">
        <v>0</v>
      </c>
      <c r="L23" s="304">
        <v>0</v>
      </c>
      <c r="M23" s="305">
        <v>0</v>
      </c>
      <c r="N23" s="318"/>
    </row>
    <row r="24" spans="1:15">
      <c r="A24" s="530" t="s">
        <v>231</v>
      </c>
      <c r="B24" s="57"/>
      <c r="C24" s="597" t="s">
        <v>232</v>
      </c>
      <c r="D24" s="45"/>
      <c r="E24" s="258"/>
      <c r="F24" s="303">
        <f t="shared" si="3"/>
        <v>0</v>
      </c>
      <c r="G24" s="304">
        <v>0</v>
      </c>
      <c r="H24" s="304">
        <v>0</v>
      </c>
      <c r="I24" s="304">
        <v>0</v>
      </c>
      <c r="J24" s="304">
        <v>0</v>
      </c>
      <c r="K24" s="304">
        <v>0</v>
      </c>
      <c r="L24" s="304">
        <v>0</v>
      </c>
      <c r="M24" s="305">
        <v>0</v>
      </c>
      <c r="N24" s="318"/>
    </row>
    <row r="25" spans="1:15" ht="15" customHeight="1">
      <c r="A25" s="530" t="s">
        <v>233</v>
      </c>
      <c r="B25" s="57"/>
      <c r="C25" s="597" t="s">
        <v>234</v>
      </c>
      <c r="D25" s="45"/>
      <c r="E25" s="258">
        <v>0</v>
      </c>
      <c r="F25" s="303">
        <f t="shared" si="3"/>
        <v>0</v>
      </c>
      <c r="G25" s="304">
        <v>0</v>
      </c>
      <c r="H25" s="304">
        <v>0</v>
      </c>
      <c r="I25" s="304">
        <v>0</v>
      </c>
      <c r="J25" s="304">
        <v>0</v>
      </c>
      <c r="K25" s="304">
        <v>0</v>
      </c>
      <c r="L25" s="304">
        <v>0</v>
      </c>
      <c r="M25" s="305">
        <v>0</v>
      </c>
      <c r="N25" s="318"/>
    </row>
    <row r="26" spans="1:15">
      <c r="A26" s="530" t="s">
        <v>235</v>
      </c>
      <c r="B26" s="57"/>
      <c r="C26" s="597">
        <v>251</v>
      </c>
      <c r="D26" s="45"/>
      <c r="E26" s="258"/>
      <c r="F26" s="303">
        <f t="shared" si="3"/>
        <v>0</v>
      </c>
      <c r="G26" s="304">
        <v>0</v>
      </c>
      <c r="H26" s="304">
        <v>0</v>
      </c>
      <c r="I26" s="304">
        <v>0</v>
      </c>
      <c r="J26" s="304">
        <v>0</v>
      </c>
      <c r="K26" s="304">
        <v>0</v>
      </c>
      <c r="L26" s="304">
        <v>0</v>
      </c>
      <c r="M26" s="305">
        <v>0</v>
      </c>
      <c r="N26" s="318"/>
    </row>
    <row r="27" spans="1:15">
      <c r="A27" s="530" t="s">
        <v>682</v>
      </c>
      <c r="B27" s="57"/>
      <c r="C27" s="597">
        <v>251</v>
      </c>
      <c r="D27" s="45"/>
      <c r="E27" s="258">
        <v>0</v>
      </c>
      <c r="F27" s="303">
        <f t="shared" si="3"/>
        <v>0</v>
      </c>
      <c r="G27" s="304">
        <v>0</v>
      </c>
      <c r="H27" s="304">
        <v>0</v>
      </c>
      <c r="I27" s="304">
        <v>0</v>
      </c>
      <c r="J27" s="304">
        <v>0</v>
      </c>
      <c r="K27" s="304">
        <v>0</v>
      </c>
      <c r="L27" s="304">
        <v>0</v>
      </c>
      <c r="M27" s="305">
        <v>0</v>
      </c>
      <c r="N27" s="318"/>
    </row>
    <row r="28" spans="1:15" ht="43.5">
      <c r="A28" s="530" t="s">
        <v>527</v>
      </c>
      <c r="B28" s="57"/>
      <c r="C28" s="597">
        <v>252</v>
      </c>
      <c r="D28" s="45"/>
      <c r="E28" s="258">
        <v>12</v>
      </c>
      <c r="F28" s="303">
        <f t="shared" si="3"/>
        <v>12</v>
      </c>
      <c r="G28" s="304">
        <v>0</v>
      </c>
      <c r="H28" s="304">
        <v>0</v>
      </c>
      <c r="I28" s="304">
        <v>0</v>
      </c>
      <c r="J28" s="304">
        <v>0</v>
      </c>
      <c r="K28" s="304">
        <v>12</v>
      </c>
      <c r="L28" s="304">
        <f>12-12</f>
        <v>0</v>
      </c>
      <c r="M28" s="305">
        <v>0</v>
      </c>
      <c r="N28" s="318" t="s">
        <v>940</v>
      </c>
    </row>
    <row r="29" spans="1:15">
      <c r="A29" s="530" t="s">
        <v>243</v>
      </c>
      <c r="B29" s="57"/>
      <c r="C29" s="597">
        <v>252</v>
      </c>
      <c r="D29" s="45"/>
      <c r="E29" s="258">
        <v>10</v>
      </c>
      <c r="F29" s="303">
        <f t="shared" si="3"/>
        <v>0</v>
      </c>
      <c r="G29" s="304">
        <v>0</v>
      </c>
      <c r="H29" s="304">
        <v>0</v>
      </c>
      <c r="I29" s="304">
        <v>0</v>
      </c>
      <c r="J29" s="304">
        <v>0</v>
      </c>
      <c r="K29" s="304">
        <v>0</v>
      </c>
      <c r="L29" s="304">
        <v>0</v>
      </c>
      <c r="M29" s="305">
        <v>0</v>
      </c>
      <c r="N29" s="407" t="s">
        <v>794</v>
      </c>
    </row>
    <row r="30" spans="1:15">
      <c r="A30" s="530" t="s">
        <v>246</v>
      </c>
      <c r="B30" s="57"/>
      <c r="C30" s="597">
        <v>256</v>
      </c>
      <c r="D30" s="530"/>
      <c r="E30" s="258"/>
      <c r="F30" s="303">
        <f t="shared" si="3"/>
        <v>0</v>
      </c>
      <c r="G30" s="304">
        <v>0</v>
      </c>
      <c r="H30" s="304">
        <v>0</v>
      </c>
      <c r="I30" s="304">
        <v>0</v>
      </c>
      <c r="J30" s="304">
        <v>0</v>
      </c>
      <c r="K30" s="304">
        <v>0</v>
      </c>
      <c r="L30" s="304">
        <v>0</v>
      </c>
      <c r="M30" s="305">
        <v>0</v>
      </c>
      <c r="N30" s="318"/>
    </row>
    <row r="31" spans="1:15">
      <c r="A31" s="530" t="s">
        <v>247</v>
      </c>
      <c r="B31" s="57"/>
      <c r="C31" s="597">
        <v>257</v>
      </c>
      <c r="D31" s="530"/>
      <c r="E31" s="258"/>
      <c r="F31" s="303">
        <f t="shared" si="3"/>
        <v>0</v>
      </c>
      <c r="G31" s="304">
        <v>0</v>
      </c>
      <c r="H31" s="304">
        <v>0</v>
      </c>
      <c r="I31" s="304">
        <v>0</v>
      </c>
      <c r="J31" s="304">
        <v>0</v>
      </c>
      <c r="K31" s="304">
        <v>0</v>
      </c>
      <c r="L31" s="304">
        <v>0</v>
      </c>
      <c r="M31" s="305">
        <v>0</v>
      </c>
      <c r="N31" s="318"/>
    </row>
    <row r="32" spans="1:15">
      <c r="A32" s="530" t="s">
        <v>248</v>
      </c>
      <c r="B32" s="57"/>
      <c r="C32" s="597" t="s">
        <v>249</v>
      </c>
      <c r="D32" s="530"/>
      <c r="E32" s="258">
        <v>2</v>
      </c>
      <c r="F32" s="303">
        <f t="shared" si="3"/>
        <v>0</v>
      </c>
      <c r="G32" s="304">
        <v>0</v>
      </c>
      <c r="H32" s="304">
        <v>0</v>
      </c>
      <c r="I32" s="304">
        <v>0</v>
      </c>
      <c r="J32" s="304">
        <v>0</v>
      </c>
      <c r="K32" s="304">
        <v>0</v>
      </c>
      <c r="L32" s="304">
        <v>0</v>
      </c>
      <c r="M32" s="305">
        <v>0</v>
      </c>
      <c r="N32" s="318"/>
    </row>
    <row r="33" spans="1:14">
      <c r="A33" s="601" t="s">
        <v>250</v>
      </c>
      <c r="B33" s="57"/>
      <c r="C33" s="621" t="s">
        <v>251</v>
      </c>
      <c r="D33" s="601"/>
      <c r="E33" s="258">
        <v>3</v>
      </c>
      <c r="F33" s="303">
        <f t="shared" si="3"/>
        <v>3</v>
      </c>
      <c r="G33" s="304">
        <v>0</v>
      </c>
      <c r="H33" s="304">
        <v>0</v>
      </c>
      <c r="I33" s="304">
        <v>0</v>
      </c>
      <c r="J33" s="304">
        <v>0</v>
      </c>
      <c r="K33" s="304">
        <v>3</v>
      </c>
      <c r="L33" s="304">
        <v>0</v>
      </c>
      <c r="M33" s="305">
        <v>0</v>
      </c>
      <c r="N33" s="318"/>
    </row>
    <row r="34" spans="1:14" ht="72.5">
      <c r="A34" s="627" t="s">
        <v>683</v>
      </c>
      <c r="B34" s="628"/>
      <c r="C34" s="621">
        <v>252</v>
      </c>
      <c r="D34" s="601"/>
      <c r="E34" s="311">
        <v>131</v>
      </c>
      <c r="F34" s="303">
        <f t="shared" si="3"/>
        <v>131</v>
      </c>
      <c r="G34" s="312"/>
      <c r="H34" s="312">
        <v>0</v>
      </c>
      <c r="I34" s="312"/>
      <c r="J34" s="312">
        <v>0</v>
      </c>
      <c r="K34" s="312">
        <v>131</v>
      </c>
      <c r="L34" s="312">
        <f>131-131</f>
        <v>0</v>
      </c>
      <c r="M34" s="313">
        <v>0</v>
      </c>
      <c r="N34" s="318" t="s">
        <v>941</v>
      </c>
    </row>
    <row r="35" spans="1:14" ht="29">
      <c r="A35" s="601" t="s">
        <v>684</v>
      </c>
      <c r="B35" s="628"/>
      <c r="C35" s="621">
        <v>252</v>
      </c>
      <c r="D35" s="601"/>
      <c r="E35" s="311">
        <v>180</v>
      </c>
      <c r="F35" s="303">
        <f t="shared" si="3"/>
        <v>180</v>
      </c>
      <c r="G35" s="312">
        <v>0</v>
      </c>
      <c r="H35" s="312">
        <v>0</v>
      </c>
      <c r="I35" s="312">
        <v>0</v>
      </c>
      <c r="J35" s="312">
        <v>0</v>
      </c>
      <c r="K35" s="312">
        <v>180</v>
      </c>
      <c r="L35" s="312">
        <f>180-180</f>
        <v>0</v>
      </c>
      <c r="M35" s="313">
        <v>0</v>
      </c>
      <c r="N35" s="318" t="s">
        <v>942</v>
      </c>
    </row>
    <row r="36" spans="1:14">
      <c r="A36" s="601" t="s">
        <v>252</v>
      </c>
      <c r="B36" s="628"/>
      <c r="C36" s="621" t="s">
        <v>253</v>
      </c>
      <c r="D36" s="601"/>
      <c r="E36" s="311">
        <v>0</v>
      </c>
      <c r="F36" s="303">
        <f t="shared" si="3"/>
        <v>0</v>
      </c>
      <c r="G36" s="312"/>
      <c r="H36" s="312"/>
      <c r="I36" s="312"/>
      <c r="J36" s="312"/>
      <c r="K36" s="312">
        <f>-271+212+59</f>
        <v>0</v>
      </c>
      <c r="L36" s="312"/>
      <c r="M36" s="313"/>
      <c r="N36" s="318"/>
    </row>
    <row r="37" spans="1:14">
      <c r="A37" s="622" t="s">
        <v>254</v>
      </c>
      <c r="B37" s="601"/>
      <c r="C37" s="621"/>
      <c r="D37" s="262"/>
      <c r="E37" s="42">
        <f>SUM(E21:E36)</f>
        <v>394</v>
      </c>
      <c r="F37" s="43">
        <f>SUM(F21:F36)</f>
        <v>352</v>
      </c>
      <c r="G37" s="43">
        <f>SUM(G21:G33)</f>
        <v>0</v>
      </c>
      <c r="H37" s="43">
        <f>SUM(H21:H35)</f>
        <v>0</v>
      </c>
      <c r="I37" s="43">
        <f>SUM(I21:I33)</f>
        <v>0</v>
      </c>
      <c r="J37" s="43">
        <f>SUM(J21:J35)</f>
        <v>0</v>
      </c>
      <c r="K37" s="43">
        <f>SUM(K21:K36)</f>
        <v>339</v>
      </c>
      <c r="L37" s="43">
        <f>SUM(L21:L35)</f>
        <v>0</v>
      </c>
      <c r="M37" s="43">
        <f>SUM(M21:M35)</f>
        <v>13</v>
      </c>
      <c r="N37" s="318"/>
    </row>
    <row r="38" spans="1:14" ht="58">
      <c r="A38" s="622" t="s">
        <v>255</v>
      </c>
      <c r="B38" s="629"/>
      <c r="C38" s="630"/>
      <c r="D38" s="262"/>
      <c r="E38" s="42"/>
      <c r="F38" s="235">
        <f t="shared" si="3"/>
        <v>218</v>
      </c>
      <c r="G38" s="235"/>
      <c r="H38" s="235"/>
      <c r="I38" s="235"/>
      <c r="J38" s="235"/>
      <c r="K38" s="235">
        <f>144+74</f>
        <v>218</v>
      </c>
      <c r="L38" s="235"/>
      <c r="M38" s="43"/>
      <c r="N38" s="318" t="s">
        <v>1446</v>
      </c>
    </row>
    <row r="39" spans="1:14">
      <c r="A39" s="622" t="s">
        <v>256</v>
      </c>
      <c r="B39" s="631"/>
      <c r="C39" s="632"/>
      <c r="D39" s="48">
        <f>D37+D19+D13+D38</f>
        <v>0</v>
      </c>
      <c r="E39" s="42">
        <f t="shared" ref="E39:M39" si="4">E37+E19+E13-E38</f>
        <v>394</v>
      </c>
      <c r="F39" s="17">
        <f t="shared" si="4"/>
        <v>134</v>
      </c>
      <c r="G39" s="17">
        <f t="shared" si="4"/>
        <v>0</v>
      </c>
      <c r="H39" s="17">
        <f t="shared" si="4"/>
        <v>0</v>
      </c>
      <c r="I39" s="17">
        <f t="shared" si="4"/>
        <v>0</v>
      </c>
      <c r="J39" s="17">
        <f t="shared" si="4"/>
        <v>0</v>
      </c>
      <c r="K39" s="17">
        <f t="shared" si="4"/>
        <v>121</v>
      </c>
      <c r="L39" s="17">
        <f t="shared" si="4"/>
        <v>0</v>
      </c>
      <c r="M39" s="17">
        <f t="shared" si="4"/>
        <v>13</v>
      </c>
      <c r="N39" s="345"/>
    </row>
    <row r="40" spans="1:14">
      <c r="B40" s="264" t="s">
        <v>299</v>
      </c>
      <c r="C40" s="177"/>
      <c r="D40" s="178"/>
      <c r="E40" s="264">
        <f>E39-C44-(E41/2)</f>
        <v>191</v>
      </c>
      <c r="F40" s="264">
        <f>F39-B44-(F41/2)</f>
        <v>-48</v>
      </c>
      <c r="G40" s="31"/>
      <c r="H40" s="31"/>
      <c r="I40" s="31"/>
      <c r="J40" s="31"/>
      <c r="K40" s="31"/>
      <c r="L40" s="31"/>
      <c r="M40" s="31"/>
      <c r="N40" s="536"/>
    </row>
    <row r="41" spans="1:14">
      <c r="B41" s="624" t="s">
        <v>685</v>
      </c>
      <c r="C41" s="625"/>
      <c r="D41" s="626"/>
      <c r="E41" s="664">
        <v>0</v>
      </c>
      <c r="F41" s="264">
        <f>170+116+26-312</f>
        <v>0</v>
      </c>
      <c r="G41" s="31"/>
      <c r="H41" s="31"/>
      <c r="I41" s="31"/>
      <c r="J41" s="31"/>
      <c r="K41" s="31"/>
      <c r="L41" s="31"/>
      <c r="M41" s="31"/>
      <c r="N41" s="536"/>
    </row>
    <row r="42" spans="1:14">
      <c r="C42" s="639"/>
      <c r="G42" s="31"/>
      <c r="H42" s="31"/>
      <c r="I42" s="31"/>
      <c r="J42" s="31"/>
      <c r="K42" s="31"/>
      <c r="L42" s="31"/>
      <c r="M42" s="31"/>
      <c r="N42" s="536"/>
    </row>
    <row r="43" spans="1:14">
      <c r="A43" s="56" t="s">
        <v>300</v>
      </c>
      <c r="B43" s="377" t="s">
        <v>1012</v>
      </c>
      <c r="C43" s="31" t="s">
        <v>735</v>
      </c>
      <c r="D43" s="31"/>
      <c r="E43" s="31"/>
      <c r="F43" s="31"/>
      <c r="G43" s="31"/>
      <c r="H43" s="31" t="s">
        <v>1018</v>
      </c>
      <c r="I43" s="31"/>
      <c r="J43" s="31"/>
      <c r="K43" s="31"/>
      <c r="L43" s="31"/>
      <c r="M43" s="31"/>
      <c r="N43" s="536"/>
    </row>
    <row r="44" spans="1:14">
      <c r="A44" s="57" t="s">
        <v>301</v>
      </c>
      <c r="B44" s="58">
        <f>(+F39/2)+6+109</f>
        <v>182</v>
      </c>
      <c r="C44" s="58">
        <v>203</v>
      </c>
      <c r="D44" s="31"/>
      <c r="E44" s="31"/>
      <c r="F44" s="31"/>
      <c r="H44" s="370" t="s">
        <v>617</v>
      </c>
      <c r="J44" s="283" t="s">
        <v>618</v>
      </c>
      <c r="K44" s="370" t="s">
        <v>622</v>
      </c>
      <c r="M44" s="283" t="s">
        <v>4</v>
      </c>
    </row>
    <row r="45" spans="1:14" ht="29">
      <c r="A45" s="530" t="s">
        <v>802</v>
      </c>
      <c r="B45" s="59">
        <f>+M39+(F41/2)</f>
        <v>13</v>
      </c>
      <c r="C45" s="59">
        <v>13</v>
      </c>
      <c r="D45" s="31"/>
      <c r="E45" s="31"/>
      <c r="F45" s="31"/>
      <c r="H45" s="370" t="s">
        <v>24</v>
      </c>
      <c r="J45" s="481">
        <f>'Prep%Fuelspercentage.direct'!B38*(F40+F38)-144</f>
        <v>-25.578000000000003</v>
      </c>
      <c r="K45" s="382">
        <f>118-144</f>
        <v>-26</v>
      </c>
      <c r="L45" s="382">
        <f>+K45-J45</f>
        <v>-0.42199999999999704</v>
      </c>
      <c r="M45" s="370">
        <f>ROUND(+K39*(+J45/J47),0)</f>
        <v>64</v>
      </c>
      <c r="N45" s="539" t="s">
        <v>1447</v>
      </c>
    </row>
    <row r="46" spans="1:14">
      <c r="A46" s="60" t="s">
        <v>495</v>
      </c>
      <c r="B46" s="61">
        <f>B44-B45</f>
        <v>169</v>
      </c>
      <c r="C46" s="61">
        <f>C44-C45</f>
        <v>190</v>
      </c>
      <c r="D46" s="31"/>
      <c r="E46" s="31"/>
      <c r="F46" s="31"/>
      <c r="H46" s="370" t="s">
        <v>25</v>
      </c>
      <c r="J46" s="481">
        <f>'Prep%Fuelspercentage.direct'!B39*(+F40+F38)-74</f>
        <v>-22.421999999999997</v>
      </c>
      <c r="K46" s="370">
        <f>52-74</f>
        <v>-22</v>
      </c>
      <c r="L46" s="382">
        <f>+K46-J46</f>
        <v>0.42199999999999704</v>
      </c>
      <c r="M46" s="370">
        <f>+K39-M45</f>
        <v>57</v>
      </c>
    </row>
    <row r="47" spans="1:14">
      <c r="A47" s="640" t="s">
        <v>686</v>
      </c>
      <c r="C47" s="370"/>
      <c r="J47" s="382">
        <f>SUM(J45:J46)</f>
        <v>-48</v>
      </c>
      <c r="K47" s="382">
        <f>SUM(K45:K46)</f>
        <v>-48</v>
      </c>
      <c r="M47" s="370">
        <f>SUM(M45:M46)</f>
        <v>121</v>
      </c>
    </row>
    <row r="48" spans="1:14">
      <c r="A48" s="283" t="s">
        <v>24</v>
      </c>
      <c r="B48" s="370">
        <f>ROUND(+B46*0.65,0)</f>
        <v>110</v>
      </c>
      <c r="C48" s="159">
        <v>124</v>
      </c>
      <c r="H48" s="370" t="s">
        <v>687</v>
      </c>
      <c r="J48" s="257">
        <v>0</v>
      </c>
      <c r="K48" s="257">
        <v>0</v>
      </c>
    </row>
    <row r="49" spans="1:14">
      <c r="A49" s="283" t="s">
        <v>25</v>
      </c>
      <c r="B49" s="382">
        <f>+B46-B48</f>
        <v>59</v>
      </c>
      <c r="C49" s="159">
        <v>66</v>
      </c>
      <c r="J49" s="382">
        <f>+J47-J48</f>
        <v>-48</v>
      </c>
      <c r="K49" s="382">
        <f>+K47-K48</f>
        <v>-48</v>
      </c>
    </row>
    <row r="50" spans="1:14" ht="15" thickBot="1">
      <c r="A50" s="31"/>
      <c r="B50" s="31"/>
      <c r="C50" s="32"/>
      <c r="D50" s="31"/>
      <c r="E50" s="31"/>
      <c r="F50" s="31"/>
      <c r="G50" s="31"/>
      <c r="H50" s="31"/>
      <c r="I50" s="31"/>
      <c r="J50" s="31"/>
      <c r="K50" s="31"/>
      <c r="L50" s="31"/>
      <c r="M50" s="31"/>
      <c r="N50" s="536"/>
    </row>
    <row r="51" spans="1:14" ht="15.5">
      <c r="A51" s="873" t="s">
        <v>257</v>
      </c>
      <c r="B51" s="874"/>
      <c r="C51" s="874"/>
      <c r="D51" s="874"/>
      <c r="E51" s="874"/>
      <c r="F51" s="874"/>
      <c r="G51" s="550"/>
      <c r="H51" s="31" t="s">
        <v>738</v>
      </c>
      <c r="I51" s="31"/>
      <c r="J51" s="31"/>
      <c r="K51" s="31"/>
      <c r="L51" s="31"/>
      <c r="M51" s="31"/>
      <c r="N51" s="536"/>
    </row>
    <row r="52" spans="1:14" ht="15.5">
      <c r="A52" s="875"/>
      <c r="B52" s="876"/>
      <c r="C52" s="876"/>
      <c r="D52" s="876"/>
      <c r="E52" s="876"/>
      <c r="F52" s="876"/>
      <c r="G52" s="551"/>
      <c r="H52" s="31" t="s">
        <v>617</v>
      </c>
      <c r="I52" s="31"/>
      <c r="J52" s="31" t="s">
        <v>618</v>
      </c>
      <c r="K52" s="31" t="s">
        <v>622</v>
      </c>
      <c r="L52" s="31"/>
      <c r="M52" s="283" t="s">
        <v>4</v>
      </c>
      <c r="N52" s="536"/>
    </row>
    <row r="53" spans="1:14">
      <c r="A53" s="877" t="s">
        <v>258</v>
      </c>
      <c r="B53" s="878"/>
      <c r="C53" s="552"/>
      <c r="D53" s="552"/>
      <c r="E53" s="552"/>
      <c r="F53" s="552"/>
      <c r="G53" s="551"/>
      <c r="H53" s="31" t="s">
        <v>24</v>
      </c>
      <c r="I53" s="31"/>
      <c r="J53" s="599">
        <v>117</v>
      </c>
      <c r="K53" s="599">
        <v>117</v>
      </c>
      <c r="L53" s="599">
        <f>+J53-K53</f>
        <v>0</v>
      </c>
      <c r="M53" s="370">
        <v>43</v>
      </c>
      <c r="N53" s="536"/>
    </row>
    <row r="54" spans="1:14">
      <c r="A54" s="553" t="s">
        <v>1028</v>
      </c>
      <c r="B54" s="554">
        <f>+E39</f>
        <v>394</v>
      </c>
      <c r="C54" s="555"/>
      <c r="D54" s="556"/>
      <c r="E54" s="556"/>
      <c r="F54" s="556"/>
      <c r="G54" s="551"/>
      <c r="H54" s="31" t="s">
        <v>25</v>
      </c>
      <c r="I54" s="31"/>
      <c r="J54" s="599">
        <v>74</v>
      </c>
      <c r="K54" s="599">
        <v>74</v>
      </c>
      <c r="L54" s="599">
        <f>+J54-K54</f>
        <v>0</v>
      </c>
      <c r="M54" s="370">
        <v>27</v>
      </c>
      <c r="N54" s="536"/>
    </row>
    <row r="55" spans="1:14">
      <c r="A55" s="557" t="s">
        <v>1029</v>
      </c>
      <c r="B55" s="558">
        <f>+F39</f>
        <v>134</v>
      </c>
      <c r="C55" s="555"/>
      <c r="D55" s="556"/>
      <c r="E55" s="556"/>
      <c r="F55" s="556"/>
      <c r="G55" s="551"/>
      <c r="H55" s="31"/>
      <c r="I55" s="31"/>
      <c r="J55" s="599">
        <f>SUM(J53:J54)</f>
        <v>191</v>
      </c>
      <c r="K55" s="599">
        <f>SUM(K53:K54)</f>
        <v>191</v>
      </c>
      <c r="L55" s="599"/>
      <c r="M55" s="370">
        <f>SUM(M53:M54)</f>
        <v>70</v>
      </c>
      <c r="N55" s="536"/>
    </row>
    <row r="56" spans="1:14">
      <c r="A56" s="559" t="s">
        <v>259</v>
      </c>
      <c r="B56" s="560">
        <f>B55-B54</f>
        <v>-260</v>
      </c>
      <c r="C56" s="555"/>
      <c r="D56" s="556"/>
      <c r="E56" s="556"/>
      <c r="F56" s="556"/>
      <c r="G56" s="551"/>
      <c r="H56" s="31" t="s">
        <v>687</v>
      </c>
      <c r="I56" s="31"/>
      <c r="J56" s="599">
        <v>0</v>
      </c>
      <c r="K56" s="599">
        <v>0</v>
      </c>
      <c r="L56" s="599"/>
      <c r="M56" s="31"/>
      <c r="N56" s="536"/>
    </row>
    <row r="57" spans="1:14">
      <c r="A57" s="559" t="s">
        <v>260</v>
      </c>
      <c r="B57" s="561">
        <f>B56/B54</f>
        <v>-0.65989847715736039</v>
      </c>
      <c r="C57" s="555"/>
      <c r="D57" s="556"/>
      <c r="E57" s="556"/>
      <c r="F57" s="556"/>
      <c r="G57" s="551"/>
      <c r="H57" s="31"/>
      <c r="I57" s="31"/>
      <c r="J57" s="382">
        <f>+J55-J56</f>
        <v>191</v>
      </c>
      <c r="K57" s="382">
        <f>+K55-K56</f>
        <v>191</v>
      </c>
      <c r="L57" s="599"/>
      <c r="M57" s="31"/>
      <c r="N57" s="536"/>
    </row>
    <row r="58" spans="1:14">
      <c r="A58" s="562"/>
      <c r="B58" s="556"/>
      <c r="C58" s="660"/>
      <c r="D58" s="556"/>
      <c r="E58" s="556"/>
      <c r="F58" s="556"/>
      <c r="G58" s="551"/>
      <c r="H58" s="31"/>
      <c r="I58" s="31"/>
      <c r="J58" s="31"/>
      <c r="K58" s="31"/>
      <c r="L58" s="31"/>
      <c r="M58" s="31"/>
      <c r="N58" s="536"/>
    </row>
    <row r="59" spans="1:14">
      <c r="A59" s="879" t="s">
        <v>261</v>
      </c>
      <c r="B59" s="880"/>
      <c r="C59" s="880"/>
      <c r="D59" s="880"/>
      <c r="E59" s="880"/>
      <c r="F59" s="880"/>
      <c r="G59" s="551"/>
      <c r="H59" s="31"/>
      <c r="I59" s="31"/>
      <c r="J59" s="31"/>
      <c r="K59" s="31"/>
      <c r="L59" s="31"/>
      <c r="M59" s="31"/>
      <c r="N59" s="536"/>
    </row>
    <row r="60" spans="1:14" ht="31.25" customHeight="1">
      <c r="A60" s="881"/>
      <c r="B60" s="882"/>
      <c r="C60" s="882"/>
      <c r="D60" s="882"/>
      <c r="E60" s="882"/>
      <c r="F60" s="883"/>
      <c r="G60" s="551"/>
      <c r="H60" s="31"/>
      <c r="I60" s="31"/>
      <c r="J60" s="31"/>
      <c r="K60" s="31"/>
      <c r="L60" s="31"/>
      <c r="M60" s="31"/>
      <c r="N60" s="536"/>
    </row>
    <row r="61" spans="1:14">
      <c r="A61" s="563"/>
      <c r="B61" s="564"/>
      <c r="C61" s="564"/>
      <c r="D61" s="564"/>
      <c r="E61" s="564"/>
      <c r="F61" s="564"/>
      <c r="G61" s="551"/>
      <c r="H61" s="31"/>
      <c r="I61" s="31"/>
      <c r="J61" s="31"/>
      <c r="K61" s="31"/>
      <c r="L61" s="31"/>
      <c r="M61" s="31"/>
      <c r="N61" s="536"/>
    </row>
    <row r="62" spans="1:14">
      <c r="A62" s="565" t="s">
        <v>262</v>
      </c>
      <c r="B62" s="556"/>
      <c r="C62" s="660"/>
      <c r="D62" s="556"/>
      <c r="E62" s="556"/>
      <c r="F62" s="556"/>
      <c r="G62" s="551"/>
      <c r="H62" s="31"/>
      <c r="I62" s="31"/>
      <c r="J62" s="31"/>
      <c r="K62" s="31"/>
      <c r="L62" s="31"/>
      <c r="M62" s="31"/>
      <c r="N62" s="536"/>
    </row>
    <row r="63" spans="1:14" ht="43.75" customHeight="1">
      <c r="A63" s="884"/>
      <c r="B63" s="885"/>
      <c r="C63" s="885"/>
      <c r="D63" s="885"/>
      <c r="E63" s="885"/>
      <c r="F63" s="886"/>
      <c r="G63" s="551"/>
      <c r="H63" s="31"/>
      <c r="I63" s="31"/>
      <c r="J63" s="31"/>
      <c r="K63" s="31"/>
      <c r="L63" s="31"/>
      <c r="M63" s="31"/>
      <c r="N63" s="536"/>
    </row>
    <row r="64" spans="1:14">
      <c r="A64" s="562"/>
      <c r="B64" s="556"/>
      <c r="C64" s="660"/>
      <c r="D64" s="556"/>
      <c r="E64" s="556"/>
      <c r="F64" s="556"/>
      <c r="G64" s="551"/>
      <c r="H64" s="31"/>
      <c r="I64" s="31"/>
      <c r="J64" s="31"/>
      <c r="K64" s="31"/>
      <c r="L64" s="31"/>
      <c r="M64" s="31"/>
      <c r="N64" s="536"/>
    </row>
    <row r="65" spans="1:14">
      <c r="A65" s="879" t="s">
        <v>1020</v>
      </c>
      <c r="B65" s="880"/>
      <c r="C65" s="880"/>
      <c r="D65" s="880"/>
      <c r="E65" s="880"/>
      <c r="F65" s="880"/>
      <c r="G65" s="551"/>
      <c r="H65" s="31"/>
      <c r="I65" s="31"/>
      <c r="J65" s="31"/>
      <c r="K65" s="31"/>
      <c r="L65" s="31"/>
      <c r="M65" s="31"/>
      <c r="N65" s="536"/>
    </row>
    <row r="66" spans="1:14">
      <c r="A66" s="898" t="s">
        <v>1021</v>
      </c>
      <c r="B66" s="899"/>
      <c r="C66" s="899"/>
      <c r="D66" s="899"/>
      <c r="E66" s="899"/>
      <c r="F66" s="899"/>
      <c r="G66" s="551"/>
      <c r="H66" s="31"/>
      <c r="I66" s="31"/>
      <c r="J66" s="31"/>
      <c r="K66" s="31"/>
      <c r="L66" s="31"/>
      <c r="M66" s="31"/>
      <c r="N66" s="536"/>
    </row>
    <row r="67" spans="1:14" ht="44" customHeight="1">
      <c r="A67" s="884"/>
      <c r="B67" s="885"/>
      <c r="C67" s="885"/>
      <c r="D67" s="885"/>
      <c r="E67" s="885"/>
      <c r="F67" s="886"/>
      <c r="G67" s="551"/>
      <c r="H67" s="31"/>
      <c r="I67" s="31"/>
      <c r="J67" s="31"/>
      <c r="K67" s="31"/>
      <c r="L67" s="31"/>
      <c r="M67" s="31"/>
      <c r="N67" s="536"/>
    </row>
    <row r="68" spans="1:14">
      <c r="A68" s="565"/>
      <c r="B68" s="556"/>
      <c r="C68" s="660"/>
      <c r="D68" s="556"/>
      <c r="E68" s="556"/>
      <c r="F68" s="556"/>
      <c r="G68" s="551"/>
      <c r="H68" s="31"/>
      <c r="I68" s="31"/>
      <c r="J68" s="31"/>
      <c r="K68" s="31"/>
      <c r="L68" s="31"/>
      <c r="M68" s="31"/>
      <c r="N68" s="536"/>
    </row>
    <row r="69" spans="1:14">
      <c r="A69" s="879" t="s">
        <v>264</v>
      </c>
      <c r="B69" s="880"/>
      <c r="C69" s="880"/>
      <c r="D69" s="880"/>
      <c r="E69" s="880"/>
      <c r="F69" s="556"/>
      <c r="G69" s="551"/>
      <c r="H69" s="31"/>
      <c r="I69" s="31"/>
      <c r="J69" s="31"/>
      <c r="K69" s="31"/>
      <c r="L69" s="31"/>
      <c r="M69" s="31"/>
      <c r="N69" s="536"/>
    </row>
    <row r="70" spans="1:14" ht="40.9" customHeight="1">
      <c r="A70" s="889"/>
      <c r="B70" s="890"/>
      <c r="C70" s="890"/>
      <c r="D70" s="890"/>
      <c r="E70" s="890"/>
      <c r="F70" s="891"/>
      <c r="G70" s="551"/>
      <c r="H70" s="31"/>
      <c r="I70" s="31"/>
      <c r="J70" s="31"/>
      <c r="K70" s="31"/>
      <c r="L70" s="31"/>
      <c r="M70" s="31"/>
      <c r="N70" s="536"/>
    </row>
    <row r="71" spans="1:14">
      <c r="A71" s="562"/>
      <c r="B71" s="556"/>
      <c r="C71" s="660"/>
      <c r="D71" s="556"/>
      <c r="E71" s="556"/>
      <c r="F71" s="556"/>
      <c r="G71" s="551"/>
      <c r="H71" s="31"/>
      <c r="I71" s="31"/>
      <c r="J71" s="31"/>
      <c r="K71" s="31"/>
      <c r="L71" s="31"/>
      <c r="M71" s="31"/>
      <c r="N71" s="536"/>
    </row>
    <row r="72" spans="1:14">
      <c r="A72" s="565" t="s">
        <v>265</v>
      </c>
      <c r="B72" s="556"/>
      <c r="C72" s="660"/>
      <c r="D72" s="556"/>
      <c r="E72" s="556"/>
      <c r="F72" s="556"/>
      <c r="G72" s="551"/>
      <c r="H72" s="31"/>
      <c r="I72" s="31"/>
      <c r="J72" s="31"/>
      <c r="K72" s="31"/>
      <c r="L72" s="31"/>
      <c r="M72" s="31"/>
      <c r="N72" s="536"/>
    </row>
    <row r="73" spans="1:14">
      <c r="A73" s="566" t="s">
        <v>266</v>
      </c>
      <c r="B73" s="556"/>
      <c r="C73" s="660"/>
      <c r="D73" s="556"/>
      <c r="E73" s="556"/>
      <c r="F73" s="556"/>
      <c r="G73" s="551"/>
      <c r="H73" s="31"/>
      <c r="I73" s="31"/>
      <c r="J73" s="31"/>
      <c r="K73" s="31"/>
      <c r="L73" s="31"/>
      <c r="M73" s="31"/>
      <c r="N73" s="536"/>
    </row>
    <row r="74" spans="1:14" ht="26.25" customHeight="1">
      <c r="A74" s="892" t="s">
        <v>1030</v>
      </c>
      <c r="B74" s="893"/>
      <c r="C74" s="893"/>
      <c r="D74" s="893"/>
      <c r="E74" s="893"/>
      <c r="F74" s="893"/>
      <c r="G74" s="551"/>
      <c r="H74" s="31"/>
      <c r="I74" s="31"/>
      <c r="J74" s="31"/>
      <c r="K74" s="31"/>
      <c r="L74" s="31"/>
      <c r="M74" s="31"/>
      <c r="N74" s="536"/>
    </row>
    <row r="75" spans="1:14" ht="55" customHeight="1">
      <c r="A75" s="903"/>
      <c r="B75" s="904"/>
      <c r="C75" s="904"/>
      <c r="D75" s="904"/>
      <c r="E75" s="904"/>
      <c r="F75" s="905"/>
      <c r="G75" s="551"/>
      <c r="H75" s="31"/>
      <c r="I75" s="31"/>
      <c r="J75" s="31"/>
      <c r="K75" s="31"/>
      <c r="L75" s="31"/>
      <c r="M75" s="31"/>
      <c r="N75" s="536"/>
    </row>
    <row r="76" spans="1:14">
      <c r="A76" s="894"/>
      <c r="B76" s="895"/>
      <c r="C76" s="895"/>
      <c r="D76" s="895"/>
      <c r="E76" s="895"/>
      <c r="F76" s="895"/>
      <c r="G76" s="551"/>
      <c r="H76" s="31"/>
      <c r="I76" s="31"/>
      <c r="J76" s="31"/>
      <c r="K76" s="31"/>
      <c r="L76" s="31"/>
      <c r="M76" s="31"/>
      <c r="N76" s="536"/>
    </row>
    <row r="77" spans="1:14">
      <c r="A77" s="566" t="s">
        <v>268</v>
      </c>
      <c r="B77" s="556"/>
      <c r="C77" s="660"/>
      <c r="D77" s="556"/>
      <c r="E77" s="556"/>
      <c r="F77" s="556"/>
      <c r="G77" s="551"/>
      <c r="H77" s="31"/>
      <c r="I77" s="31"/>
      <c r="J77" s="31"/>
      <c r="K77" s="31"/>
      <c r="L77" s="31"/>
      <c r="M77" s="31"/>
      <c r="N77" s="536"/>
    </row>
    <row r="78" spans="1:14" ht="28.75" customHeight="1">
      <c r="A78" s="896" t="s">
        <v>269</v>
      </c>
      <c r="B78" s="897"/>
      <c r="C78" s="897"/>
      <c r="D78" s="897"/>
      <c r="E78" s="897"/>
      <c r="F78" s="897"/>
      <c r="G78" s="551"/>
      <c r="H78" s="31"/>
      <c r="I78" s="31"/>
      <c r="J78" s="31"/>
      <c r="K78" s="31"/>
      <c r="L78" s="31"/>
      <c r="M78" s="31"/>
      <c r="N78" s="536"/>
    </row>
    <row r="79" spans="1:14" ht="30.75" customHeight="1">
      <c r="A79" s="889"/>
      <c r="B79" s="890"/>
      <c r="C79" s="890"/>
      <c r="D79" s="890"/>
      <c r="E79" s="890"/>
      <c r="F79" s="891"/>
      <c r="G79" s="551"/>
      <c r="H79" s="31"/>
      <c r="I79" s="31"/>
      <c r="J79" s="31"/>
      <c r="K79" s="31"/>
      <c r="L79" s="31"/>
      <c r="M79" s="31"/>
      <c r="N79" s="536"/>
    </row>
    <row r="80" spans="1:14" ht="15" thickBot="1">
      <c r="A80" s="567"/>
      <c r="B80" s="568"/>
      <c r="C80" s="569"/>
      <c r="D80" s="568"/>
      <c r="E80" s="568"/>
      <c r="F80" s="568"/>
      <c r="G80" s="570"/>
      <c r="H80" s="31"/>
      <c r="I80" s="31"/>
      <c r="J80" s="31"/>
      <c r="K80" s="31"/>
      <c r="L80" s="31"/>
      <c r="M80" s="31"/>
      <c r="N80" s="536"/>
    </row>
    <row r="81" spans="1:14">
      <c r="A81" s="31"/>
      <c r="B81" s="31"/>
      <c r="C81" s="32"/>
      <c r="D81" s="31"/>
      <c r="E81" s="31"/>
      <c r="F81" s="31"/>
      <c r="G81" s="31"/>
      <c r="H81" s="31"/>
      <c r="I81" s="31"/>
      <c r="J81" s="31"/>
      <c r="K81" s="31"/>
      <c r="L81" s="31"/>
      <c r="M81" s="31"/>
      <c r="N81" s="536"/>
    </row>
    <row r="82" spans="1:14">
      <c r="A82" s="31"/>
      <c r="B82" s="31"/>
      <c r="C82" s="32"/>
      <c r="D82" s="31"/>
      <c r="E82" s="31"/>
      <c r="F82" s="31"/>
      <c r="G82" s="31"/>
    </row>
    <row r="83" spans="1:14">
      <c r="A83" s="31"/>
      <c r="B83" s="31"/>
      <c r="C83" s="32"/>
      <c r="D83" s="31"/>
      <c r="E83" s="31"/>
      <c r="F83" s="31"/>
      <c r="G83" s="31"/>
    </row>
    <row r="84" spans="1:14">
      <c r="A84" s="31"/>
      <c r="B84" s="31"/>
      <c r="C84" s="32"/>
      <c r="D84" s="31"/>
      <c r="E84" s="31"/>
      <c r="F84" s="31"/>
      <c r="G84" s="31"/>
    </row>
    <row r="85" spans="1:14">
      <c r="A85" s="31"/>
      <c r="B85" s="31"/>
      <c r="C85" s="32"/>
      <c r="D85" s="31"/>
      <c r="E85" s="31"/>
      <c r="F85" s="31"/>
      <c r="G85" s="31"/>
    </row>
    <row r="86" spans="1:14">
      <c r="A86" s="31"/>
      <c r="B86" s="31"/>
      <c r="C86" s="32"/>
      <c r="D86" s="31"/>
      <c r="E86" s="31"/>
      <c r="F86" s="31"/>
      <c r="G86" s="31"/>
    </row>
    <row r="87" spans="1:14">
      <c r="A87" s="31"/>
      <c r="B87" s="31"/>
      <c r="C87" s="32"/>
      <c r="D87" s="31"/>
      <c r="E87" s="31"/>
      <c r="F87" s="31"/>
      <c r="G87" s="31"/>
    </row>
    <row r="88" spans="1:14">
      <c r="A88" s="31"/>
      <c r="B88" s="31"/>
      <c r="C88" s="32"/>
      <c r="D88" s="31"/>
      <c r="E88" s="31"/>
      <c r="F88" s="31"/>
      <c r="G88" s="31"/>
    </row>
    <row r="89" spans="1:14">
      <c r="A89" s="31"/>
      <c r="B89" s="31"/>
      <c r="C89" s="32"/>
      <c r="D89" s="31"/>
      <c r="E89" s="31"/>
      <c r="F89" s="31"/>
      <c r="G89" s="31"/>
    </row>
    <row r="90" spans="1:14">
      <c r="A90" s="31"/>
      <c r="B90" s="31"/>
      <c r="C90" s="32"/>
      <c r="D90" s="31"/>
      <c r="E90" s="31"/>
      <c r="F90" s="31"/>
      <c r="G90" s="31"/>
    </row>
    <row r="91" spans="1:14">
      <c r="A91" s="31"/>
      <c r="B91" s="31"/>
      <c r="C91" s="32"/>
      <c r="D91" s="31"/>
      <c r="E91" s="31"/>
      <c r="F91" s="31"/>
      <c r="G91" s="31"/>
    </row>
    <row r="92" spans="1:14">
      <c r="A92" s="31"/>
      <c r="B92" s="31"/>
      <c r="C92" s="32"/>
      <c r="D92" s="31"/>
      <c r="E92" s="31"/>
      <c r="F92" s="31"/>
      <c r="G92" s="31"/>
    </row>
    <row r="93" spans="1:14">
      <c r="A93" s="31"/>
      <c r="B93" s="31"/>
      <c r="C93" s="32"/>
      <c r="D93" s="31"/>
      <c r="E93" s="31"/>
      <c r="F93" s="31"/>
      <c r="G93" s="31"/>
    </row>
    <row r="94" spans="1:14">
      <c r="A94" s="31"/>
      <c r="B94" s="31"/>
      <c r="C94" s="32"/>
      <c r="D94" s="31"/>
      <c r="E94" s="31"/>
      <c r="F94" s="31"/>
      <c r="G94" s="31"/>
    </row>
    <row r="95" spans="1:14">
      <c r="A95" s="31"/>
      <c r="B95" s="31"/>
      <c r="C95" s="32"/>
      <c r="D95" s="31"/>
      <c r="E95" s="31"/>
      <c r="F95" s="31"/>
      <c r="G95" s="31"/>
    </row>
    <row r="96" spans="1:14">
      <c r="A96" s="31"/>
      <c r="B96" s="31"/>
      <c r="C96" s="32"/>
      <c r="D96" s="31"/>
      <c r="E96" s="31"/>
      <c r="F96" s="31"/>
      <c r="G96" s="31"/>
    </row>
    <row r="97" spans="1:7">
      <c r="A97" s="31"/>
      <c r="B97" s="31"/>
      <c r="C97" s="32"/>
      <c r="D97" s="31"/>
      <c r="E97" s="31"/>
      <c r="F97" s="31"/>
      <c r="G97" s="31"/>
    </row>
  </sheetData>
  <mergeCells count="17">
    <mergeCell ref="A78:F78"/>
    <mergeCell ref="A79:F79"/>
    <mergeCell ref="A69:E69"/>
    <mergeCell ref="A70:F70"/>
    <mergeCell ref="A74:F74"/>
    <mergeCell ref="A75:F75"/>
    <mergeCell ref="A76:F76"/>
    <mergeCell ref="A60:F60"/>
    <mergeCell ref="A63:F63"/>
    <mergeCell ref="A65:F65"/>
    <mergeCell ref="A66:F66"/>
    <mergeCell ref="A67:F67"/>
    <mergeCell ref="A1:N1"/>
    <mergeCell ref="A51:F51"/>
    <mergeCell ref="A52:F52"/>
    <mergeCell ref="A53:B53"/>
    <mergeCell ref="A59:F59"/>
  </mergeCell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2" tint="-0.249977111117893"/>
    <pageSetUpPr fitToPage="1"/>
  </sheetPr>
  <dimension ref="A1:N88"/>
  <sheetViews>
    <sheetView zoomScaleNormal="100" workbookViewId="0">
      <selection sqref="A1:N1"/>
    </sheetView>
  </sheetViews>
  <sheetFormatPr defaultColWidth="9.1796875" defaultRowHeight="14.5"/>
  <cols>
    <col min="1" max="1" width="45.81640625" style="149" customWidth="1"/>
    <col min="2" max="2" width="20.26953125" style="149" customWidth="1"/>
    <col min="3" max="3" width="7.7265625" style="150" customWidth="1"/>
    <col min="4" max="4" width="8.7265625" style="149" customWidth="1"/>
    <col min="5" max="5" width="10.7265625" style="149" customWidth="1"/>
    <col min="6" max="6" width="11" style="149" customWidth="1"/>
    <col min="7" max="7" width="9.54296875" style="149" customWidth="1"/>
    <col min="8" max="8" width="8.453125" style="149" customWidth="1"/>
    <col min="9" max="10" width="7.1796875" style="149" customWidth="1"/>
    <col min="11" max="11" width="7.7265625" style="149" customWidth="1"/>
    <col min="12" max="12" width="9.7265625" style="149" customWidth="1"/>
    <col min="13" max="13" width="9.1796875" style="149" customWidth="1"/>
    <col min="14" max="14" width="33.81640625" style="149" customWidth="1"/>
    <col min="15" max="16384" width="9.1796875" style="149"/>
  </cols>
  <sheetData>
    <row r="1" spans="1:14" ht="15.5">
      <c r="A1" s="854" t="s">
        <v>270</v>
      </c>
      <c r="B1" s="854"/>
      <c r="C1" s="854"/>
      <c r="D1" s="854"/>
      <c r="E1" s="854"/>
      <c r="F1" s="854"/>
      <c r="G1" s="854"/>
      <c r="H1" s="854"/>
      <c r="I1" s="854"/>
      <c r="J1" s="854"/>
      <c r="K1" s="854"/>
      <c r="L1" s="854"/>
      <c r="M1" s="854"/>
      <c r="N1" s="854"/>
    </row>
    <row r="2" spans="1:14">
      <c r="A2" s="702" t="s">
        <v>688</v>
      </c>
      <c r="B2" s="370"/>
      <c r="C2" s="370"/>
      <c r="D2" s="370"/>
      <c r="E2" s="370"/>
      <c r="F2" s="370"/>
      <c r="G2" s="370"/>
      <c r="H2" s="370"/>
      <c r="I2" s="370"/>
      <c r="J2" s="370"/>
      <c r="K2" s="370"/>
      <c r="L2" s="370"/>
      <c r="M2" s="370"/>
      <c r="N2" s="539"/>
    </row>
    <row r="3" spans="1:14">
      <c r="A3" s="506" t="s">
        <v>821</v>
      </c>
      <c r="B3" s="370"/>
      <c r="C3" s="370"/>
      <c r="D3" s="370"/>
      <c r="E3" s="370"/>
      <c r="F3" s="451" t="s">
        <v>210</v>
      </c>
      <c r="G3" s="370"/>
      <c r="H3" s="370"/>
      <c r="I3" s="370"/>
      <c r="J3" s="370"/>
      <c r="K3" s="370"/>
      <c r="L3" s="370"/>
      <c r="M3" s="370"/>
      <c r="N3" s="539"/>
    </row>
    <row r="4" spans="1:14" ht="26">
      <c r="A4" s="506" t="s">
        <v>804</v>
      </c>
      <c r="B4" s="31"/>
      <c r="C4" s="31"/>
      <c r="D4" s="31"/>
      <c r="E4" s="370"/>
      <c r="F4" s="370"/>
      <c r="G4" s="370"/>
      <c r="H4" s="370"/>
      <c r="I4" s="370"/>
      <c r="J4" s="370"/>
      <c r="K4" s="370"/>
      <c r="L4" s="370"/>
      <c r="M4" s="370"/>
      <c r="N4" s="539"/>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8" t="s">
        <v>689</v>
      </c>
      <c r="B6" s="68"/>
      <c r="C6" s="68"/>
      <c r="D6" s="68"/>
      <c r="E6" s="68"/>
      <c r="F6" s="68"/>
      <c r="G6" s="68"/>
      <c r="H6" s="68"/>
      <c r="I6" s="68"/>
      <c r="J6" s="68"/>
      <c r="K6" s="68"/>
      <c r="L6" s="68"/>
      <c r="M6" s="68"/>
      <c r="N6" s="68"/>
    </row>
    <row r="7" spans="1:14" s="279" customFormat="1">
      <c r="A7" s="36" t="s">
        <v>690</v>
      </c>
      <c r="B7" s="36" t="s">
        <v>691</v>
      </c>
      <c r="C7" s="37" t="s">
        <v>218</v>
      </c>
      <c r="D7" s="38">
        <v>1</v>
      </c>
      <c r="E7" s="258">
        <v>233</v>
      </c>
      <c r="F7" s="303">
        <f t="shared" ref="F7:F12" si="0">SUM(G7:M7)</f>
        <v>242</v>
      </c>
      <c r="G7" s="304">
        <v>0</v>
      </c>
      <c r="H7" s="304">
        <v>0</v>
      </c>
      <c r="I7" s="304">
        <v>0</v>
      </c>
      <c r="J7" s="304">
        <v>0</v>
      </c>
      <c r="K7" s="304">
        <v>242</v>
      </c>
      <c r="L7" s="304">
        <v>0</v>
      </c>
      <c r="M7" s="305">
        <v>0</v>
      </c>
      <c r="N7" s="348" t="s">
        <v>692</v>
      </c>
    </row>
    <row r="8" spans="1:14" s="279" customFormat="1" ht="15" customHeight="1">
      <c r="A8" s="36" t="s">
        <v>693</v>
      </c>
      <c r="B8" s="36" t="s">
        <v>694</v>
      </c>
      <c r="C8" s="37" t="s">
        <v>218</v>
      </c>
      <c r="D8" s="39">
        <v>1</v>
      </c>
      <c r="E8" s="258">
        <v>178</v>
      </c>
      <c r="F8" s="303">
        <f t="shared" si="0"/>
        <v>188</v>
      </c>
      <c r="G8" s="304">
        <v>0</v>
      </c>
      <c r="H8" s="304">
        <v>0</v>
      </c>
      <c r="I8" s="304">
        <v>0</v>
      </c>
      <c r="J8" s="304">
        <v>0</v>
      </c>
      <c r="K8" s="304">
        <v>188</v>
      </c>
      <c r="L8" s="304">
        <v>0</v>
      </c>
      <c r="M8" s="305">
        <v>0</v>
      </c>
      <c r="N8" s="348"/>
    </row>
    <row r="9" spans="1:14" s="279" customFormat="1">
      <c r="A9" s="36" t="s">
        <v>695</v>
      </c>
      <c r="B9" s="259" t="s">
        <v>696</v>
      </c>
      <c r="C9" s="37" t="s">
        <v>218</v>
      </c>
      <c r="D9" s="39">
        <v>1</v>
      </c>
      <c r="E9" s="258">
        <v>181</v>
      </c>
      <c r="F9" s="303">
        <f t="shared" si="0"/>
        <v>192</v>
      </c>
      <c r="G9" s="304">
        <v>0</v>
      </c>
      <c r="H9" s="304">
        <v>0</v>
      </c>
      <c r="I9" s="304">
        <v>0</v>
      </c>
      <c r="J9" s="304">
        <v>0</v>
      </c>
      <c r="K9" s="304">
        <v>192</v>
      </c>
      <c r="L9" s="304">
        <v>0</v>
      </c>
      <c r="M9" s="305">
        <v>0</v>
      </c>
      <c r="N9" s="348" t="s">
        <v>692</v>
      </c>
    </row>
    <row r="10" spans="1:14" s="279" customFormat="1" ht="29">
      <c r="A10" s="36" t="s">
        <v>697</v>
      </c>
      <c r="B10" s="259" t="s">
        <v>698</v>
      </c>
      <c r="C10" s="37" t="s">
        <v>218</v>
      </c>
      <c r="D10" s="39">
        <v>1</v>
      </c>
      <c r="E10" s="258">
        <v>184</v>
      </c>
      <c r="F10" s="303">
        <f t="shared" si="0"/>
        <v>140</v>
      </c>
      <c r="G10" s="304">
        <v>0</v>
      </c>
      <c r="H10" s="304">
        <v>0</v>
      </c>
      <c r="I10" s="304">
        <v>0</v>
      </c>
      <c r="J10" s="304">
        <v>0</v>
      </c>
      <c r="K10" s="304">
        <f>187-47</f>
        <v>140</v>
      </c>
      <c r="L10" s="304">
        <v>0</v>
      </c>
      <c r="M10" s="305">
        <v>0</v>
      </c>
      <c r="N10" s="320" t="s">
        <v>1596</v>
      </c>
    </row>
    <row r="11" spans="1:14" s="279" customFormat="1" ht="31.5" customHeight="1">
      <c r="A11" s="167" t="s">
        <v>945</v>
      </c>
      <c r="B11" s="601" t="s">
        <v>1302</v>
      </c>
      <c r="C11" s="37" t="s">
        <v>218</v>
      </c>
      <c r="D11" s="39">
        <v>1</v>
      </c>
      <c r="E11" s="258">
        <v>163</v>
      </c>
      <c r="F11" s="303">
        <f t="shared" si="0"/>
        <v>158</v>
      </c>
      <c r="G11" s="304">
        <v>0</v>
      </c>
      <c r="H11" s="304">
        <v>0</v>
      </c>
      <c r="I11" s="304">
        <v>0</v>
      </c>
      <c r="J11" s="304">
        <v>0</v>
      </c>
      <c r="K11" s="304">
        <v>158</v>
      </c>
      <c r="L11" s="304">
        <v>0</v>
      </c>
      <c r="M11" s="305">
        <v>0</v>
      </c>
      <c r="N11" s="415" t="s">
        <v>1100</v>
      </c>
    </row>
    <row r="12" spans="1:14" s="370" customFormat="1" ht="31" customHeight="1">
      <c r="A12" s="167" t="s">
        <v>946</v>
      </c>
      <c r="B12" s="601" t="s">
        <v>1303</v>
      </c>
      <c r="C12" s="37" t="s">
        <v>218</v>
      </c>
      <c r="D12" s="715">
        <v>1</v>
      </c>
      <c r="E12" s="258">
        <v>142</v>
      </c>
      <c r="F12" s="303">
        <f t="shared" si="0"/>
        <v>158</v>
      </c>
      <c r="G12" s="304">
        <v>0</v>
      </c>
      <c r="H12" s="304">
        <v>0</v>
      </c>
      <c r="I12" s="304">
        <v>0</v>
      </c>
      <c r="J12" s="304">
        <v>0</v>
      </c>
      <c r="K12" s="304">
        <v>158</v>
      </c>
      <c r="L12" s="304">
        <v>0</v>
      </c>
      <c r="M12" s="305">
        <v>0</v>
      </c>
      <c r="N12" s="415" t="s">
        <v>1100</v>
      </c>
    </row>
    <row r="13" spans="1:14" s="370" customFormat="1" ht="28" customHeight="1">
      <c r="A13" s="167" t="s">
        <v>947</v>
      </c>
      <c r="B13" s="601" t="s">
        <v>944</v>
      </c>
      <c r="C13" s="37" t="s">
        <v>699</v>
      </c>
      <c r="D13" s="262">
        <v>1</v>
      </c>
      <c r="E13" s="258">
        <v>147</v>
      </c>
      <c r="F13" s="303">
        <f t="shared" ref="F13" si="1">SUM(G13:M13)</f>
        <v>150</v>
      </c>
      <c r="G13" s="304">
        <v>0</v>
      </c>
      <c r="H13" s="304">
        <v>0</v>
      </c>
      <c r="I13" s="304">
        <v>0</v>
      </c>
      <c r="J13" s="304">
        <v>0</v>
      </c>
      <c r="K13" s="304">
        <v>150</v>
      </c>
      <c r="L13" s="304">
        <v>0</v>
      </c>
      <c r="M13" s="305">
        <v>0</v>
      </c>
      <c r="N13" s="91" t="s">
        <v>1100</v>
      </c>
    </row>
    <row r="14" spans="1:14" ht="28" customHeight="1">
      <c r="A14" s="167" t="s">
        <v>1450</v>
      </c>
      <c r="B14" s="601" t="s">
        <v>1451</v>
      </c>
      <c r="C14" s="37" t="s">
        <v>699</v>
      </c>
      <c r="D14" s="262">
        <v>0.5</v>
      </c>
      <c r="E14" s="258">
        <v>0</v>
      </c>
      <c r="F14" s="303">
        <v>85</v>
      </c>
      <c r="G14" s="304">
        <v>0</v>
      </c>
      <c r="H14" s="304">
        <v>0</v>
      </c>
      <c r="I14" s="304">
        <v>85</v>
      </c>
      <c r="J14" s="304">
        <v>0</v>
      </c>
      <c r="K14" s="304">
        <v>0</v>
      </c>
      <c r="L14" s="304">
        <v>0</v>
      </c>
      <c r="M14" s="305">
        <v>0</v>
      </c>
      <c r="N14" s="91" t="s">
        <v>1452</v>
      </c>
    </row>
    <row r="15" spans="1:14">
      <c r="A15" s="40" t="s">
        <v>219</v>
      </c>
      <c r="B15" s="260"/>
      <c r="C15" s="260"/>
      <c r="D15" s="41">
        <f>SUM(D7:D14)</f>
        <v>7.5</v>
      </c>
      <c r="E15" s="43">
        <f t="shared" ref="E15:M15" si="2">SUM(E7:E14)</f>
        <v>1228</v>
      </c>
      <c r="F15" s="43">
        <f t="shared" si="2"/>
        <v>1313</v>
      </c>
      <c r="G15" s="43">
        <f t="shared" si="2"/>
        <v>0</v>
      </c>
      <c r="H15" s="43">
        <f t="shared" si="2"/>
        <v>0</v>
      </c>
      <c r="I15" s="43">
        <f t="shared" si="2"/>
        <v>85</v>
      </c>
      <c r="J15" s="43">
        <f t="shared" si="2"/>
        <v>0</v>
      </c>
      <c r="K15" s="43">
        <f t="shared" si="2"/>
        <v>1228</v>
      </c>
      <c r="L15" s="43">
        <f t="shared" si="2"/>
        <v>0</v>
      </c>
      <c r="M15" s="43">
        <f t="shared" si="2"/>
        <v>0</v>
      </c>
      <c r="N15" s="318"/>
    </row>
    <row r="16" spans="1:14">
      <c r="A16" s="68" t="s">
        <v>700</v>
      </c>
      <c r="B16" s="68"/>
      <c r="C16" s="68"/>
      <c r="D16" s="68"/>
      <c r="E16" s="68"/>
      <c r="F16" s="68"/>
      <c r="G16" s="68"/>
      <c r="H16" s="68"/>
      <c r="I16" s="68"/>
      <c r="J16" s="68"/>
      <c r="K16" s="68"/>
      <c r="L16" s="68"/>
      <c r="M16" s="68"/>
      <c r="N16" s="68"/>
    </row>
    <row r="17" spans="1:14">
      <c r="A17" s="259" t="s">
        <v>1593</v>
      </c>
      <c r="B17" s="259" t="s">
        <v>1594</v>
      </c>
      <c r="C17" s="259">
        <v>251</v>
      </c>
      <c r="D17" s="45"/>
      <c r="E17" s="258">
        <v>0</v>
      </c>
      <c r="F17" s="350">
        <f>SUM(G17:M17)</f>
        <v>47</v>
      </c>
      <c r="G17" s="304">
        <v>0</v>
      </c>
      <c r="H17" s="304">
        <v>0</v>
      </c>
      <c r="I17" s="304">
        <v>0</v>
      </c>
      <c r="J17" s="304">
        <v>0</v>
      </c>
      <c r="K17" s="304">
        <v>47</v>
      </c>
      <c r="L17" s="304">
        <v>0</v>
      </c>
      <c r="M17" s="305">
        <v>0</v>
      </c>
      <c r="N17" s="320" t="s">
        <v>1595</v>
      </c>
    </row>
    <row r="18" spans="1:14">
      <c r="A18" s="259" t="s">
        <v>296</v>
      </c>
      <c r="B18" s="259" t="s">
        <v>701</v>
      </c>
      <c r="C18" s="259">
        <v>251</v>
      </c>
      <c r="D18" s="45"/>
      <c r="E18" s="258">
        <v>0</v>
      </c>
      <c r="F18" s="350">
        <f>SUM(G18:M18)</f>
        <v>0</v>
      </c>
      <c r="G18" s="304">
        <v>0</v>
      </c>
      <c r="H18" s="304">
        <v>0</v>
      </c>
      <c r="I18" s="304">
        <v>0</v>
      </c>
      <c r="J18" s="304">
        <v>0</v>
      </c>
      <c r="K18" s="304">
        <v>0</v>
      </c>
      <c r="L18" s="304">
        <v>0</v>
      </c>
      <c r="M18" s="305">
        <v>0</v>
      </c>
      <c r="N18" s="320"/>
    </row>
    <row r="19" spans="1:14">
      <c r="A19" s="259" t="s">
        <v>296</v>
      </c>
      <c r="B19" s="259" t="s">
        <v>701</v>
      </c>
      <c r="C19" s="50">
        <v>251</v>
      </c>
      <c r="D19" s="50"/>
      <c r="E19" s="258">
        <v>0</v>
      </c>
      <c r="F19" s="303">
        <f>SUM(G19:M19)</f>
        <v>0</v>
      </c>
      <c r="G19" s="304">
        <v>0</v>
      </c>
      <c r="H19" s="304">
        <v>0</v>
      </c>
      <c r="I19" s="304">
        <v>0</v>
      </c>
      <c r="J19" s="304">
        <v>0</v>
      </c>
      <c r="K19" s="304">
        <v>0</v>
      </c>
      <c r="L19" s="304">
        <v>0</v>
      </c>
      <c r="M19" s="305">
        <v>0</v>
      </c>
      <c r="N19" s="320"/>
    </row>
    <row r="20" spans="1:14">
      <c r="A20" s="40" t="s">
        <v>225</v>
      </c>
      <c r="B20" s="260"/>
      <c r="C20" s="260"/>
      <c r="D20" s="262"/>
      <c r="E20" s="43">
        <f t="shared" ref="E20:M20" si="3">SUM(E17:E19)</f>
        <v>0</v>
      </c>
      <c r="F20" s="43">
        <f t="shared" si="3"/>
        <v>47</v>
      </c>
      <c r="G20" s="43">
        <f t="shared" si="3"/>
        <v>0</v>
      </c>
      <c r="H20" s="43">
        <f t="shared" si="3"/>
        <v>0</v>
      </c>
      <c r="I20" s="43">
        <f t="shared" si="3"/>
        <v>0</v>
      </c>
      <c r="J20" s="43">
        <f t="shared" si="3"/>
        <v>0</v>
      </c>
      <c r="K20" s="43">
        <f t="shared" si="3"/>
        <v>47</v>
      </c>
      <c r="L20" s="43">
        <f t="shared" si="3"/>
        <v>0</v>
      </c>
      <c r="M20" s="43">
        <f t="shared" si="3"/>
        <v>0</v>
      </c>
      <c r="N20" s="318"/>
    </row>
    <row r="21" spans="1:14">
      <c r="A21" s="68" t="s">
        <v>226</v>
      </c>
      <c r="B21" s="68"/>
      <c r="C21" s="68"/>
      <c r="D21" s="68"/>
      <c r="E21" s="68"/>
      <c r="F21" s="68"/>
      <c r="G21" s="68"/>
      <c r="H21" s="68"/>
      <c r="I21" s="68"/>
      <c r="J21" s="68"/>
      <c r="K21" s="68"/>
      <c r="L21" s="68"/>
      <c r="M21" s="68"/>
      <c r="N21" s="68"/>
    </row>
    <row r="22" spans="1:14">
      <c r="A22" s="530" t="s">
        <v>227</v>
      </c>
      <c r="B22" s="259"/>
      <c r="C22" s="607" t="s">
        <v>228</v>
      </c>
      <c r="D22" s="45"/>
      <c r="E22" s="258">
        <v>71</v>
      </c>
      <c r="F22" s="303">
        <v>75</v>
      </c>
      <c r="G22" s="304">
        <v>0</v>
      </c>
      <c r="H22" s="304">
        <v>0</v>
      </c>
      <c r="I22" s="304">
        <v>10</v>
      </c>
      <c r="J22" s="304">
        <v>0</v>
      </c>
      <c r="K22" s="304">
        <v>65</v>
      </c>
      <c r="L22" s="304">
        <v>0</v>
      </c>
      <c r="M22" s="305">
        <v>0</v>
      </c>
      <c r="N22" s="318" t="s">
        <v>1453</v>
      </c>
    </row>
    <row r="23" spans="1:14" s="347" customFormat="1">
      <c r="A23" s="530" t="s">
        <v>229</v>
      </c>
      <c r="B23" s="57"/>
      <c r="C23" s="597" t="s">
        <v>230</v>
      </c>
      <c r="D23" s="45"/>
      <c r="E23" s="258">
        <v>0</v>
      </c>
      <c r="F23" s="303">
        <f t="shared" ref="F23:F33" si="4">SUM(G23:M23)</f>
        <v>0</v>
      </c>
      <c r="G23" s="304">
        <v>0</v>
      </c>
      <c r="H23" s="304">
        <v>0</v>
      </c>
      <c r="I23" s="304">
        <v>0</v>
      </c>
      <c r="J23" s="304">
        <v>0</v>
      </c>
      <c r="K23" s="304">
        <v>0</v>
      </c>
      <c r="L23" s="304">
        <v>0</v>
      </c>
      <c r="M23" s="305">
        <v>0</v>
      </c>
      <c r="N23" s="318"/>
    </row>
    <row r="24" spans="1:14">
      <c r="A24" s="530" t="s">
        <v>231</v>
      </c>
      <c r="B24" s="57"/>
      <c r="C24" s="597" t="s">
        <v>232</v>
      </c>
      <c r="D24" s="45"/>
      <c r="E24" s="258">
        <v>0</v>
      </c>
      <c r="F24" s="303">
        <f t="shared" si="4"/>
        <v>0</v>
      </c>
      <c r="G24" s="304">
        <v>0</v>
      </c>
      <c r="H24" s="304">
        <v>0</v>
      </c>
      <c r="I24" s="304">
        <v>0</v>
      </c>
      <c r="J24" s="304">
        <v>0</v>
      </c>
      <c r="K24" s="304">
        <v>0</v>
      </c>
      <c r="L24" s="304">
        <v>0</v>
      </c>
      <c r="M24" s="305">
        <v>0</v>
      </c>
      <c r="N24" s="348"/>
    </row>
    <row r="25" spans="1:14" s="7" customFormat="1">
      <c r="A25" s="530" t="s">
        <v>233</v>
      </c>
      <c r="B25" s="57"/>
      <c r="C25" s="597" t="s">
        <v>234</v>
      </c>
      <c r="D25" s="45"/>
      <c r="E25" s="258">
        <v>0</v>
      </c>
      <c r="F25" s="303">
        <f t="shared" si="4"/>
        <v>0</v>
      </c>
      <c r="G25" s="304">
        <v>0</v>
      </c>
      <c r="H25" s="304">
        <v>0</v>
      </c>
      <c r="I25" s="304">
        <v>0</v>
      </c>
      <c r="J25" s="304">
        <v>0</v>
      </c>
      <c r="K25" s="304">
        <v>0</v>
      </c>
      <c r="L25" s="304">
        <v>0</v>
      </c>
      <c r="M25" s="305">
        <v>0</v>
      </c>
      <c r="N25" s="320"/>
    </row>
    <row r="26" spans="1:14" ht="15" customHeight="1">
      <c r="A26" s="530" t="s">
        <v>235</v>
      </c>
      <c r="B26" s="57"/>
      <c r="C26" s="597">
        <v>251</v>
      </c>
      <c r="D26" s="45"/>
      <c r="E26" s="258">
        <v>0</v>
      </c>
      <c r="F26" s="303">
        <f t="shared" si="4"/>
        <v>0</v>
      </c>
      <c r="G26" s="304">
        <v>0</v>
      </c>
      <c r="H26" s="304">
        <v>0</v>
      </c>
      <c r="I26" s="304">
        <v>0</v>
      </c>
      <c r="J26" s="304">
        <v>0</v>
      </c>
      <c r="K26" s="304">
        <v>0</v>
      </c>
      <c r="L26" s="304">
        <v>0</v>
      </c>
      <c r="M26" s="305">
        <v>0</v>
      </c>
      <c r="N26" s="320"/>
    </row>
    <row r="27" spans="1:14">
      <c r="A27" s="530" t="s">
        <v>527</v>
      </c>
      <c r="B27" s="57"/>
      <c r="C27" s="597">
        <v>252</v>
      </c>
      <c r="D27" s="45"/>
      <c r="E27" s="258">
        <v>0</v>
      </c>
      <c r="F27" s="303">
        <f t="shared" si="4"/>
        <v>0</v>
      </c>
      <c r="G27" s="304">
        <v>0</v>
      </c>
      <c r="H27" s="304">
        <v>0</v>
      </c>
      <c r="I27" s="304">
        <v>0</v>
      </c>
      <c r="J27" s="304">
        <v>0</v>
      </c>
      <c r="K27" s="304">
        <v>0</v>
      </c>
      <c r="L27" s="304">
        <v>0</v>
      </c>
      <c r="M27" s="305">
        <v>0</v>
      </c>
      <c r="N27" s="320"/>
    </row>
    <row r="28" spans="1:14">
      <c r="A28" s="530" t="s">
        <v>243</v>
      </c>
      <c r="B28" s="57"/>
      <c r="C28" s="597">
        <v>252</v>
      </c>
      <c r="D28" s="45"/>
      <c r="E28" s="258">
        <v>15</v>
      </c>
      <c r="F28" s="303">
        <f t="shared" si="4"/>
        <v>15</v>
      </c>
      <c r="G28" s="304">
        <v>0</v>
      </c>
      <c r="H28" s="304">
        <v>0</v>
      </c>
      <c r="I28" s="304">
        <v>0</v>
      </c>
      <c r="J28" s="304">
        <v>0</v>
      </c>
      <c r="K28" s="304">
        <v>15</v>
      </c>
      <c r="L28" s="304">
        <v>0</v>
      </c>
      <c r="M28" s="305">
        <v>0</v>
      </c>
      <c r="N28" s="318" t="s">
        <v>803</v>
      </c>
    </row>
    <row r="29" spans="1:14">
      <c r="A29" s="530" t="s">
        <v>246</v>
      </c>
      <c r="B29" s="57"/>
      <c r="C29" s="597">
        <v>256</v>
      </c>
      <c r="D29" s="45"/>
      <c r="E29" s="258">
        <v>0</v>
      </c>
      <c r="F29" s="303">
        <f t="shared" si="4"/>
        <v>0</v>
      </c>
      <c r="G29" s="304">
        <v>0</v>
      </c>
      <c r="H29" s="304">
        <v>0</v>
      </c>
      <c r="I29" s="304">
        <v>0</v>
      </c>
      <c r="J29" s="304">
        <v>0</v>
      </c>
      <c r="K29" s="304">
        <v>0</v>
      </c>
      <c r="L29" s="304">
        <v>0</v>
      </c>
      <c r="M29" s="305">
        <v>0</v>
      </c>
      <c r="N29" s="320"/>
    </row>
    <row r="30" spans="1:14">
      <c r="A30" s="530" t="s">
        <v>247</v>
      </c>
      <c r="B30" s="57"/>
      <c r="C30" s="597">
        <v>257</v>
      </c>
      <c r="D30" s="45"/>
      <c r="E30" s="258">
        <v>0</v>
      </c>
      <c r="F30" s="303">
        <f t="shared" si="4"/>
        <v>0</v>
      </c>
      <c r="G30" s="304">
        <v>0</v>
      </c>
      <c r="H30" s="304">
        <v>0</v>
      </c>
      <c r="I30" s="304">
        <v>0</v>
      </c>
      <c r="J30" s="304">
        <v>0</v>
      </c>
      <c r="K30" s="304">
        <v>0</v>
      </c>
      <c r="L30" s="304">
        <v>0</v>
      </c>
      <c r="M30" s="305">
        <v>0</v>
      </c>
      <c r="N30" s="320" t="s">
        <v>507</v>
      </c>
    </row>
    <row r="31" spans="1:14">
      <c r="A31" s="530" t="s">
        <v>248</v>
      </c>
      <c r="B31" s="57"/>
      <c r="C31" s="597" t="s">
        <v>249</v>
      </c>
      <c r="D31" s="45"/>
      <c r="E31" s="258">
        <v>0</v>
      </c>
      <c r="F31" s="303">
        <f t="shared" si="4"/>
        <v>2</v>
      </c>
      <c r="G31" s="304">
        <v>0</v>
      </c>
      <c r="H31" s="304">
        <v>0</v>
      </c>
      <c r="I31" s="304">
        <v>0</v>
      </c>
      <c r="J31" s="304">
        <v>0</v>
      </c>
      <c r="K31" s="304">
        <v>2</v>
      </c>
      <c r="L31" s="304">
        <v>0</v>
      </c>
      <c r="M31" s="305">
        <v>0</v>
      </c>
      <c r="N31" s="320" t="s">
        <v>507</v>
      </c>
    </row>
    <row r="32" spans="1:14">
      <c r="A32" s="601" t="s">
        <v>250</v>
      </c>
      <c r="B32" s="57"/>
      <c r="C32" s="621" t="s">
        <v>251</v>
      </c>
      <c r="D32" s="45"/>
      <c r="E32" s="258">
        <v>0</v>
      </c>
      <c r="F32" s="303">
        <f t="shared" si="4"/>
        <v>0</v>
      </c>
      <c r="G32" s="304">
        <v>0</v>
      </c>
      <c r="H32" s="304">
        <v>0</v>
      </c>
      <c r="I32" s="304">
        <v>0</v>
      </c>
      <c r="J32" s="304">
        <v>0</v>
      </c>
      <c r="K32" s="304">
        <v>0</v>
      </c>
      <c r="L32" s="304">
        <v>0</v>
      </c>
      <c r="M32" s="305">
        <v>0</v>
      </c>
      <c r="N32" s="320"/>
    </row>
    <row r="33" spans="1:14">
      <c r="A33" s="259" t="s">
        <v>702</v>
      </c>
      <c r="B33" s="259"/>
      <c r="C33" s="44">
        <v>254</v>
      </c>
      <c r="D33" s="45"/>
      <c r="E33" s="258">
        <v>0</v>
      </c>
      <c r="F33" s="303">
        <f t="shared" si="4"/>
        <v>0</v>
      </c>
      <c r="G33" s="304">
        <v>0</v>
      </c>
      <c r="H33" s="304">
        <v>0</v>
      </c>
      <c r="I33" s="304">
        <v>0</v>
      </c>
      <c r="J33" s="304">
        <v>0</v>
      </c>
      <c r="K33" s="304">
        <v>0</v>
      </c>
      <c r="L33" s="304">
        <v>0</v>
      </c>
      <c r="M33" s="305">
        <v>0</v>
      </c>
      <c r="N33" s="320"/>
    </row>
    <row r="34" spans="1:14" s="370" customFormat="1">
      <c r="A34" s="601" t="s">
        <v>252</v>
      </c>
      <c r="B34" s="628"/>
      <c r="C34" s="621" t="s">
        <v>253</v>
      </c>
      <c r="D34" s="601"/>
      <c r="E34" s="311">
        <v>0</v>
      </c>
      <c r="F34" s="303">
        <f>SUM(G34:M34)</f>
        <v>0</v>
      </c>
      <c r="G34" s="163">
        <v>0</v>
      </c>
      <c r="H34" s="163">
        <v>0</v>
      </c>
      <c r="I34" s="163">
        <v>0</v>
      </c>
      <c r="J34" s="163">
        <v>0</v>
      </c>
      <c r="K34" s="163">
        <f>-148+148</f>
        <v>0</v>
      </c>
      <c r="L34" s="163">
        <v>0</v>
      </c>
      <c r="M34" s="164">
        <v>0</v>
      </c>
      <c r="N34" s="318" t="s">
        <v>951</v>
      </c>
    </row>
    <row r="35" spans="1:14">
      <c r="A35" s="40" t="s">
        <v>254</v>
      </c>
      <c r="B35" s="260"/>
      <c r="C35" s="260"/>
      <c r="D35" s="262"/>
      <c r="E35" s="43">
        <f t="shared" ref="E35:M35" si="5">SUM(E22:E34)</f>
        <v>86</v>
      </c>
      <c r="F35" s="43">
        <f t="shared" si="5"/>
        <v>92</v>
      </c>
      <c r="G35" s="43">
        <f t="shared" si="5"/>
        <v>0</v>
      </c>
      <c r="H35" s="43">
        <f t="shared" si="5"/>
        <v>0</v>
      </c>
      <c r="I35" s="43">
        <f t="shared" si="5"/>
        <v>10</v>
      </c>
      <c r="J35" s="43">
        <f t="shared" si="5"/>
        <v>0</v>
      </c>
      <c r="K35" s="43">
        <f t="shared" si="5"/>
        <v>82</v>
      </c>
      <c r="L35" s="43">
        <f t="shared" si="5"/>
        <v>0</v>
      </c>
      <c r="M35" s="43">
        <f t="shared" si="5"/>
        <v>0</v>
      </c>
      <c r="N35" s="320"/>
    </row>
    <row r="36" spans="1:14" ht="21.5">
      <c r="A36" s="40" t="s">
        <v>255</v>
      </c>
      <c r="B36" s="51"/>
      <c r="C36" s="147"/>
      <c r="D36" s="262"/>
      <c r="E36" s="236">
        <v>0</v>
      </c>
      <c r="F36" s="235">
        <f>SUM(G36:M36)</f>
        <v>352</v>
      </c>
      <c r="G36" s="235"/>
      <c r="H36" s="235">
        <v>0</v>
      </c>
      <c r="I36" s="235"/>
      <c r="J36" s="235"/>
      <c r="K36" s="235">
        <f>185+167</f>
        <v>352</v>
      </c>
      <c r="L36" s="235"/>
      <c r="M36" s="235"/>
      <c r="N36" s="273" t="s">
        <v>1445</v>
      </c>
    </row>
    <row r="37" spans="1:14">
      <c r="A37" s="40" t="s">
        <v>256</v>
      </c>
      <c r="B37" s="51"/>
      <c r="C37" s="51"/>
      <c r="D37" s="48">
        <f>D35+D20+D15</f>
        <v>7.5</v>
      </c>
      <c r="E37" s="17">
        <f t="shared" ref="E37:M37" si="6">E35+E20+E15-E36</f>
        <v>1314</v>
      </c>
      <c r="F37" s="17">
        <f t="shared" si="6"/>
        <v>1100</v>
      </c>
      <c r="G37" s="17">
        <f t="shared" si="6"/>
        <v>0</v>
      </c>
      <c r="H37" s="17">
        <f t="shared" si="6"/>
        <v>0</v>
      </c>
      <c r="I37" s="17">
        <f t="shared" si="6"/>
        <v>95</v>
      </c>
      <c r="J37" s="17">
        <f t="shared" si="6"/>
        <v>0</v>
      </c>
      <c r="K37" s="17">
        <f t="shared" si="6"/>
        <v>1005</v>
      </c>
      <c r="L37" s="17">
        <f t="shared" si="6"/>
        <v>0</v>
      </c>
      <c r="M37" s="17">
        <f t="shared" si="6"/>
        <v>0</v>
      </c>
      <c r="N37" s="52"/>
    </row>
    <row r="38" spans="1:14">
      <c r="A38" s="370"/>
      <c r="B38" s="53"/>
      <c r="C38" s="53"/>
      <c r="D38" s="54" t="s">
        <v>703</v>
      </c>
      <c r="E38" s="55">
        <f>+E37-C44</f>
        <v>825</v>
      </c>
      <c r="F38" s="55">
        <f>+F37-B42</f>
        <v>605</v>
      </c>
      <c r="G38" s="370"/>
      <c r="H38" s="370"/>
      <c r="I38" s="370"/>
      <c r="J38" s="370"/>
      <c r="K38" s="370"/>
      <c r="L38" s="370"/>
      <c r="M38" s="370"/>
      <c r="N38" s="370"/>
    </row>
    <row r="39" spans="1:14">
      <c r="A39" s="370"/>
      <c r="B39" s="246"/>
      <c r="C39" s="376"/>
      <c r="D39" s="216"/>
      <c r="E39" s="215"/>
      <c r="F39" s="215"/>
      <c r="G39" s="370"/>
      <c r="H39" s="370"/>
      <c r="I39" s="370"/>
      <c r="J39" s="370"/>
      <c r="K39" s="370"/>
      <c r="L39" s="370"/>
      <c r="M39" s="370"/>
      <c r="N39" s="370"/>
    </row>
    <row r="40" spans="1:14" s="370" customFormat="1">
      <c r="B40" s="246"/>
      <c r="C40" s="376"/>
      <c r="D40" s="216"/>
      <c r="E40" s="215"/>
      <c r="F40" s="215"/>
      <c r="K40" s="283" t="s">
        <v>4</v>
      </c>
    </row>
    <row r="41" spans="1:14">
      <c r="A41" s="56" t="s">
        <v>300</v>
      </c>
      <c r="B41" s="283" t="s">
        <v>1012</v>
      </c>
      <c r="C41" s="283" t="s">
        <v>735</v>
      </c>
      <c r="D41" s="29"/>
      <c r="E41" s="29"/>
      <c r="F41" s="29"/>
      <c r="G41" s="257"/>
      <c r="H41" s="370" t="s">
        <v>617</v>
      </c>
      <c r="I41" s="370"/>
      <c r="J41" s="283" t="s">
        <v>618</v>
      </c>
      <c r="K41" s="370" t="s">
        <v>622</v>
      </c>
      <c r="L41" s="370"/>
      <c r="M41" s="382"/>
      <c r="N41" s="370"/>
    </row>
    <row r="42" spans="1:14">
      <c r="A42" s="57" t="s">
        <v>301</v>
      </c>
      <c r="B42" s="58">
        <f>(((+K7+K9+K11+K12+K13))/2)+30+15</f>
        <v>495</v>
      </c>
      <c r="C42" s="58">
        <f>473+16</f>
        <v>489</v>
      </c>
      <c r="D42" s="370"/>
      <c r="E42" s="370"/>
      <c r="F42" s="370"/>
      <c r="G42" s="370"/>
      <c r="H42" s="370" t="s">
        <v>24</v>
      </c>
      <c r="I42" s="370"/>
      <c r="J42" s="382">
        <f>(+'Prep%Fuelspercentage.direct'!B38*(F38+F36))</f>
        <v>666.64620000000002</v>
      </c>
      <c r="K42" s="382">
        <f>+F38-K43</f>
        <v>482</v>
      </c>
      <c r="L42" s="382">
        <f>+K42-J42</f>
        <v>-184.64620000000002</v>
      </c>
      <c r="M42" s="370" t="s">
        <v>1488</v>
      </c>
      <c r="N42" s="370"/>
    </row>
    <row r="43" spans="1:14">
      <c r="A43" s="259" t="s">
        <v>302</v>
      </c>
      <c r="B43" s="59">
        <v>0</v>
      </c>
      <c r="C43" s="59">
        <v>0</v>
      </c>
      <c r="D43" s="370"/>
      <c r="E43" s="370"/>
      <c r="F43" s="370"/>
      <c r="G43" s="370"/>
      <c r="H43" s="370" t="s">
        <v>25</v>
      </c>
      <c r="I43" s="370"/>
      <c r="J43" s="382">
        <f>+'Prep%Fuelspercentage.direct'!B39*(+F38+F36)</f>
        <v>290.35379999999998</v>
      </c>
      <c r="K43" s="370">
        <f>290-167</f>
        <v>123</v>
      </c>
      <c r="L43" s="382">
        <f>+K43-J43</f>
        <v>-167.35379999999998</v>
      </c>
      <c r="M43" s="370" t="s">
        <v>1488</v>
      </c>
      <c r="N43" s="370"/>
    </row>
    <row r="44" spans="1:14">
      <c r="A44" s="60" t="s">
        <v>303</v>
      </c>
      <c r="B44" s="61">
        <f>B42-B43</f>
        <v>495</v>
      </c>
      <c r="C44" s="61">
        <f>C42-C43</f>
        <v>489</v>
      </c>
      <c r="D44" s="370"/>
      <c r="E44" s="370"/>
      <c r="F44" s="370"/>
      <c r="G44" s="370"/>
      <c r="H44" s="370"/>
      <c r="I44" s="370"/>
      <c r="J44" s="382">
        <f>SUM(J42:J43)</f>
        <v>957</v>
      </c>
      <c r="K44" s="382">
        <f>SUM(K42:K43)</f>
        <v>605</v>
      </c>
      <c r="L44" s="370"/>
      <c r="M44" s="370"/>
      <c r="N44" s="370"/>
    </row>
    <row r="45" spans="1:14">
      <c r="A45" s="56"/>
      <c r="B45" s="283" t="s">
        <v>1012</v>
      </c>
      <c r="C45" s="639" t="s">
        <v>735</v>
      </c>
      <c r="D45" s="370"/>
      <c r="E45" s="370"/>
      <c r="F45" s="370"/>
      <c r="G45" s="370"/>
      <c r="H45" s="370" t="s">
        <v>687</v>
      </c>
      <c r="I45" s="370"/>
      <c r="J45" s="257">
        <v>352</v>
      </c>
      <c r="K45" s="257"/>
      <c r="L45" s="370" t="s">
        <v>1576</v>
      </c>
      <c r="M45" s="370" t="s">
        <v>1577</v>
      </c>
      <c r="N45" s="370"/>
    </row>
    <row r="46" spans="1:14">
      <c r="A46" s="370"/>
      <c r="B46" s="283" t="s">
        <v>282</v>
      </c>
      <c r="C46" s="639" t="s">
        <v>282</v>
      </c>
      <c r="D46" s="370"/>
      <c r="E46" s="370"/>
      <c r="F46" s="370"/>
      <c r="G46" s="370"/>
      <c r="H46" s="370"/>
      <c r="I46" s="370"/>
      <c r="J46" s="382">
        <f>+J44-J45</f>
        <v>605</v>
      </c>
      <c r="K46" s="382">
        <f>+K44-K45</f>
        <v>605</v>
      </c>
      <c r="L46" s="370"/>
      <c r="M46" s="370"/>
      <c r="N46" s="370"/>
    </row>
    <row r="47" spans="1:14">
      <c r="A47" s="370" t="s">
        <v>704</v>
      </c>
      <c r="B47" s="382">
        <f>+B44*0.66</f>
        <v>326.7</v>
      </c>
      <c r="C47" s="382">
        <v>489</v>
      </c>
      <c r="D47" s="370"/>
      <c r="E47" s="370"/>
      <c r="F47" s="370"/>
      <c r="G47" s="370"/>
      <c r="H47" s="370"/>
      <c r="I47" s="370"/>
      <c r="J47" s="370"/>
      <c r="K47" s="370"/>
      <c r="L47" s="370"/>
      <c r="M47" s="370"/>
      <c r="N47" s="370"/>
    </row>
    <row r="48" spans="1:14">
      <c r="A48" s="370" t="s">
        <v>705</v>
      </c>
      <c r="B48" s="416">
        <f>+B44-B47</f>
        <v>168.3</v>
      </c>
      <c r="C48" s="416">
        <v>0</v>
      </c>
      <c r="D48" s="370"/>
      <c r="E48" s="370"/>
      <c r="F48" s="370"/>
      <c r="G48" s="370"/>
      <c r="H48" s="370" t="s">
        <v>735</v>
      </c>
      <c r="I48" s="370"/>
      <c r="J48" s="370"/>
      <c r="K48" s="370"/>
      <c r="L48" s="370"/>
      <c r="M48" s="370"/>
      <c r="N48" s="370"/>
    </row>
    <row r="49" spans="1:14">
      <c r="A49" s="283" t="s">
        <v>806</v>
      </c>
      <c r="B49" s="382">
        <f>SUM(B47:B48)</f>
        <v>495</v>
      </c>
      <c r="C49" s="283">
        <f>SUM(C47:C48)</f>
        <v>489</v>
      </c>
      <c r="D49" s="370"/>
      <c r="E49" s="370"/>
      <c r="F49" s="370"/>
      <c r="G49" s="370"/>
      <c r="H49" s="370" t="s">
        <v>617</v>
      </c>
      <c r="I49" s="370"/>
      <c r="J49" s="283" t="s">
        <v>618</v>
      </c>
      <c r="K49" s="370" t="s">
        <v>622</v>
      </c>
      <c r="L49" s="370"/>
      <c r="M49" s="370"/>
      <c r="N49" s="370"/>
    </row>
    <row r="50" spans="1:14">
      <c r="A50" s="370"/>
      <c r="B50" s="370"/>
      <c r="C50" s="639"/>
      <c r="D50" s="370"/>
      <c r="E50" s="370"/>
      <c r="F50" s="370"/>
      <c r="G50" s="370"/>
      <c r="H50" s="370" t="s">
        <v>24</v>
      </c>
      <c r="I50" s="370"/>
      <c r="J50" s="499">
        <v>447.98249999999996</v>
      </c>
      <c r="K50" s="499">
        <v>448</v>
      </c>
      <c r="L50" s="382">
        <f>+K50-J50</f>
        <v>1.7500000000040927E-2</v>
      </c>
      <c r="M50" s="370"/>
      <c r="N50" s="370"/>
    </row>
    <row r="51" spans="1:14">
      <c r="A51" s="370"/>
      <c r="B51" s="370"/>
      <c r="C51" s="639"/>
      <c r="D51" s="370"/>
      <c r="E51" s="370"/>
      <c r="F51" s="370"/>
      <c r="G51" s="370"/>
      <c r="H51" s="370" t="s">
        <v>25</v>
      </c>
      <c r="I51" s="370"/>
      <c r="J51" s="499">
        <v>377.01750000000004</v>
      </c>
      <c r="K51" s="29">
        <v>377</v>
      </c>
      <c r="L51" s="382">
        <f>+K51-J51</f>
        <v>-1.7500000000040927E-2</v>
      </c>
      <c r="M51" s="370"/>
      <c r="N51" s="370"/>
    </row>
    <row r="52" spans="1:14">
      <c r="A52" s="370"/>
      <c r="B52" s="370"/>
      <c r="C52" s="639"/>
      <c r="D52" s="370"/>
      <c r="E52" s="370"/>
      <c r="F52" s="370"/>
      <c r="G52" s="370"/>
      <c r="H52" s="370"/>
      <c r="I52" s="370"/>
      <c r="J52" s="499">
        <f>SUM(J50:J51)</f>
        <v>825</v>
      </c>
      <c r="K52" s="499">
        <f>SUM(K50:K51)</f>
        <v>825</v>
      </c>
      <c r="L52" s="29"/>
      <c r="M52" s="370"/>
      <c r="N52" s="370"/>
    </row>
    <row r="53" spans="1:14">
      <c r="A53" s="370"/>
      <c r="B53" s="370"/>
      <c r="C53" s="639"/>
      <c r="D53" s="370"/>
      <c r="E53" s="370"/>
      <c r="F53" s="370"/>
      <c r="G53" s="370"/>
      <c r="H53" s="370" t="s">
        <v>687</v>
      </c>
      <c r="I53" s="370"/>
      <c r="J53" s="222">
        <v>0</v>
      </c>
      <c r="K53" s="222">
        <v>0</v>
      </c>
      <c r="L53" s="29"/>
      <c r="M53" s="370"/>
      <c r="N53" s="370"/>
    </row>
    <row r="54" spans="1:14">
      <c r="A54" s="370"/>
      <c r="B54" s="370"/>
      <c r="C54" s="639"/>
      <c r="D54" s="370"/>
      <c r="E54" s="370"/>
      <c r="F54" s="370"/>
      <c r="G54" s="370"/>
      <c r="H54" s="370"/>
      <c r="I54" s="370"/>
      <c r="J54" s="382">
        <f>+J52-J53</f>
        <v>825</v>
      </c>
      <c r="K54" s="382">
        <f>+K52-K53</f>
        <v>825</v>
      </c>
      <c r="L54" s="29"/>
      <c r="M54" s="370"/>
      <c r="N54" s="370"/>
    </row>
    <row r="56" spans="1:14" s="370" customFormat="1" ht="15" thickBot="1">
      <c r="A56" s="31"/>
      <c r="B56" s="31"/>
      <c r="C56" s="32"/>
      <c r="D56" s="31"/>
      <c r="E56" s="31"/>
      <c r="F56" s="31"/>
      <c r="G56" s="31"/>
      <c r="H56" s="31"/>
      <c r="I56" s="31"/>
      <c r="J56" s="31"/>
      <c r="K56" s="31"/>
      <c r="L56" s="31"/>
      <c r="M56" s="31"/>
      <c r="N56" s="536"/>
    </row>
    <row r="57" spans="1:14" s="370" customFormat="1" ht="15.5">
      <c r="A57" s="873" t="s">
        <v>257</v>
      </c>
      <c r="B57" s="874"/>
      <c r="C57" s="874"/>
      <c r="D57" s="874"/>
      <c r="E57" s="874"/>
      <c r="F57" s="874"/>
      <c r="G57" s="550"/>
      <c r="H57" s="31"/>
      <c r="I57" s="31"/>
      <c r="J57" s="31"/>
      <c r="K57" s="31"/>
      <c r="L57" s="31"/>
      <c r="M57" s="31"/>
      <c r="N57" s="536"/>
    </row>
    <row r="58" spans="1:14" s="370" customFormat="1" ht="15.5">
      <c r="A58" s="875"/>
      <c r="B58" s="876"/>
      <c r="C58" s="876"/>
      <c r="D58" s="876"/>
      <c r="E58" s="876"/>
      <c r="F58" s="876"/>
      <c r="G58" s="551"/>
      <c r="H58" s="31"/>
      <c r="I58" s="31"/>
      <c r="J58" s="31"/>
      <c r="K58" s="31"/>
      <c r="L58" s="31"/>
      <c r="M58" s="31"/>
      <c r="N58" s="536"/>
    </row>
    <row r="59" spans="1:14" s="370" customFormat="1">
      <c r="A59" s="877" t="s">
        <v>258</v>
      </c>
      <c r="B59" s="878"/>
      <c r="C59" s="552"/>
      <c r="D59" s="552"/>
      <c r="E59" s="552"/>
      <c r="F59" s="552"/>
      <c r="G59" s="551"/>
      <c r="H59" s="31"/>
      <c r="I59" s="31"/>
      <c r="J59" s="31"/>
      <c r="K59" s="31"/>
      <c r="L59" s="31"/>
      <c r="M59" s="31"/>
      <c r="N59" s="536"/>
    </row>
    <row r="60" spans="1:14" s="370" customFormat="1">
      <c r="A60" s="553" t="s">
        <v>1009</v>
      </c>
      <c r="B60" s="554">
        <f>+E37</f>
        <v>1314</v>
      </c>
      <c r="C60" s="555"/>
      <c r="D60" s="556"/>
      <c r="E60" s="556"/>
      <c r="F60" s="556"/>
      <c r="G60" s="551"/>
      <c r="H60" s="31"/>
      <c r="I60" s="31"/>
      <c r="J60" s="31"/>
      <c r="K60" s="31"/>
      <c r="L60" s="31"/>
      <c r="M60" s="31"/>
      <c r="N60" s="536"/>
    </row>
    <row r="61" spans="1:14" s="370" customFormat="1">
      <c r="A61" s="557" t="s">
        <v>1010</v>
      </c>
      <c r="B61" s="558">
        <f>+F37</f>
        <v>1100</v>
      </c>
      <c r="C61" s="555"/>
      <c r="D61" s="556"/>
      <c r="E61" s="556"/>
      <c r="F61" s="556"/>
      <c r="G61" s="551"/>
      <c r="H61" s="31"/>
      <c r="I61" s="31"/>
      <c r="J61" s="31"/>
      <c r="K61" s="31"/>
      <c r="L61" s="31"/>
      <c r="M61" s="31"/>
      <c r="N61" s="536"/>
    </row>
    <row r="62" spans="1:14" s="370" customFormat="1">
      <c r="A62" s="559" t="s">
        <v>259</v>
      </c>
      <c r="B62" s="560">
        <f>+B61-B60</f>
        <v>-214</v>
      </c>
      <c r="C62" s="555"/>
      <c r="D62" s="556"/>
      <c r="E62" s="556"/>
      <c r="F62" s="556"/>
      <c r="G62" s="551"/>
      <c r="H62" s="31"/>
      <c r="I62" s="31"/>
      <c r="J62" s="31"/>
      <c r="K62" s="31"/>
      <c r="L62" s="31"/>
      <c r="M62" s="31"/>
      <c r="N62" s="536"/>
    </row>
    <row r="63" spans="1:14" s="370" customFormat="1">
      <c r="A63" s="559" t="s">
        <v>260</v>
      </c>
      <c r="B63" s="561">
        <f>+B62/B60</f>
        <v>-0.16286149162861491</v>
      </c>
      <c r="C63" s="555"/>
      <c r="D63" s="556"/>
      <c r="E63" s="556"/>
      <c r="F63" s="556"/>
      <c r="G63" s="551"/>
      <c r="H63" s="31"/>
      <c r="I63" s="31"/>
      <c r="J63" s="31"/>
      <c r="K63" s="31"/>
      <c r="L63" s="31"/>
      <c r="M63" s="31"/>
      <c r="N63" s="536"/>
    </row>
    <row r="64" spans="1:14" s="370" customFormat="1">
      <c r="A64" s="562"/>
      <c r="B64" s="556"/>
      <c r="C64" s="638"/>
      <c r="D64" s="556"/>
      <c r="E64" s="556"/>
      <c r="F64" s="556"/>
      <c r="G64" s="551"/>
      <c r="H64" s="31"/>
      <c r="I64" s="31"/>
      <c r="J64" s="31"/>
      <c r="K64" s="31"/>
      <c r="L64" s="31"/>
      <c r="M64" s="31"/>
      <c r="N64" s="536"/>
    </row>
    <row r="65" spans="1:14" s="370" customFormat="1">
      <c r="A65" s="879" t="s">
        <v>261</v>
      </c>
      <c r="B65" s="880"/>
      <c r="C65" s="880"/>
      <c r="D65" s="880"/>
      <c r="E65" s="880"/>
      <c r="F65" s="880"/>
      <c r="G65" s="551"/>
      <c r="H65" s="31"/>
      <c r="I65" s="31"/>
      <c r="J65" s="31"/>
      <c r="K65" s="31"/>
      <c r="L65" s="31"/>
      <c r="M65" s="31"/>
      <c r="N65" s="536"/>
    </row>
    <row r="66" spans="1:14" s="370" customFormat="1">
      <c r="A66" s="881"/>
      <c r="B66" s="882"/>
      <c r="C66" s="882"/>
      <c r="D66" s="882"/>
      <c r="E66" s="882"/>
      <c r="F66" s="883"/>
      <c r="G66" s="551"/>
      <c r="H66" s="31"/>
      <c r="I66" s="31"/>
      <c r="J66" s="31"/>
      <c r="K66" s="31"/>
      <c r="L66" s="31"/>
      <c r="M66" s="31"/>
      <c r="N66" s="536"/>
    </row>
    <row r="67" spans="1:14" s="370" customFormat="1">
      <c r="A67" s="563"/>
      <c r="B67" s="564"/>
      <c r="C67" s="564"/>
      <c r="D67" s="564"/>
      <c r="E67" s="564"/>
      <c r="F67" s="564"/>
      <c r="G67" s="551"/>
      <c r="H67" s="31"/>
      <c r="I67" s="31"/>
      <c r="J67" s="31"/>
      <c r="K67" s="31"/>
      <c r="L67" s="31"/>
      <c r="M67" s="31"/>
      <c r="N67" s="536"/>
    </row>
    <row r="68" spans="1:14" s="370" customFormat="1">
      <c r="A68" s="565" t="s">
        <v>262</v>
      </c>
      <c r="B68" s="556"/>
      <c r="C68" s="638"/>
      <c r="D68" s="556"/>
      <c r="E68" s="556"/>
      <c r="F68" s="556"/>
      <c r="G68" s="551"/>
      <c r="H68" s="31"/>
      <c r="I68" s="31"/>
      <c r="J68" s="31"/>
      <c r="K68" s="31"/>
      <c r="L68" s="31"/>
      <c r="M68" s="31"/>
      <c r="N68" s="536"/>
    </row>
    <row r="69" spans="1:14" s="370" customFormat="1">
      <c r="A69" s="884"/>
      <c r="B69" s="885"/>
      <c r="C69" s="885"/>
      <c r="D69" s="885"/>
      <c r="E69" s="885"/>
      <c r="F69" s="886"/>
      <c r="G69" s="551"/>
      <c r="H69" s="31"/>
      <c r="I69" s="31"/>
      <c r="J69" s="31"/>
      <c r="K69" s="31"/>
      <c r="L69" s="31"/>
      <c r="M69" s="31"/>
      <c r="N69" s="536"/>
    </row>
    <row r="70" spans="1:14" s="370" customFormat="1">
      <c r="A70" s="562"/>
      <c r="B70" s="556"/>
      <c r="C70" s="638"/>
      <c r="D70" s="556"/>
      <c r="E70" s="556"/>
      <c r="F70" s="556"/>
      <c r="G70" s="551"/>
      <c r="H70" s="31"/>
      <c r="I70" s="31"/>
      <c r="J70" s="31"/>
      <c r="K70" s="31"/>
      <c r="L70" s="31"/>
      <c r="M70" s="31"/>
      <c r="N70" s="536"/>
    </row>
    <row r="71" spans="1:14" s="370" customFormat="1">
      <c r="A71" s="879" t="s">
        <v>1020</v>
      </c>
      <c r="B71" s="880"/>
      <c r="C71" s="880"/>
      <c r="D71" s="880"/>
      <c r="E71" s="880"/>
      <c r="F71" s="880"/>
      <c r="G71" s="551"/>
      <c r="H71" s="31"/>
      <c r="I71" s="31"/>
      <c r="J71" s="31"/>
      <c r="K71" s="31"/>
      <c r="L71" s="31"/>
      <c r="M71" s="31"/>
      <c r="N71" s="536"/>
    </row>
    <row r="72" spans="1:14" s="370" customFormat="1">
      <c r="A72" s="898" t="s">
        <v>1021</v>
      </c>
      <c r="B72" s="899"/>
      <c r="C72" s="899"/>
      <c r="D72" s="899"/>
      <c r="E72" s="899"/>
      <c r="F72" s="899"/>
      <c r="G72" s="551"/>
      <c r="H72" s="31"/>
      <c r="I72" s="31"/>
      <c r="J72" s="31"/>
      <c r="K72" s="31"/>
      <c r="L72" s="31"/>
      <c r="M72" s="31"/>
      <c r="N72" s="536"/>
    </row>
    <row r="73" spans="1:14" s="370" customFormat="1">
      <c r="A73" s="884"/>
      <c r="B73" s="885"/>
      <c r="C73" s="885"/>
      <c r="D73" s="885"/>
      <c r="E73" s="885"/>
      <c r="F73" s="886"/>
      <c r="G73" s="551"/>
      <c r="H73" s="31"/>
      <c r="I73" s="31"/>
      <c r="J73" s="31"/>
      <c r="K73" s="31"/>
      <c r="L73" s="31"/>
      <c r="M73" s="31"/>
      <c r="N73" s="536"/>
    </row>
    <row r="74" spans="1:14" s="370" customFormat="1">
      <c r="A74" s="565"/>
      <c r="B74" s="556"/>
      <c r="C74" s="638"/>
      <c r="D74" s="556"/>
      <c r="E74" s="556"/>
      <c r="F74" s="556"/>
      <c r="G74" s="551"/>
      <c r="H74" s="31"/>
      <c r="I74" s="31"/>
      <c r="J74" s="31"/>
      <c r="K74" s="31"/>
      <c r="L74" s="31"/>
      <c r="M74" s="31"/>
      <c r="N74" s="536"/>
    </row>
    <row r="75" spans="1:14" s="370" customFormat="1">
      <c r="A75" s="879" t="s">
        <v>264</v>
      </c>
      <c r="B75" s="880"/>
      <c r="C75" s="880"/>
      <c r="D75" s="880"/>
      <c r="E75" s="880"/>
      <c r="F75" s="556"/>
      <c r="G75" s="551"/>
      <c r="H75" s="31"/>
      <c r="I75" s="31"/>
      <c r="J75" s="31"/>
      <c r="K75" s="31"/>
      <c r="L75" s="31"/>
      <c r="M75" s="31"/>
      <c r="N75" s="536"/>
    </row>
    <row r="76" spans="1:14" s="370" customFormat="1">
      <c r="A76" s="889"/>
      <c r="B76" s="890"/>
      <c r="C76" s="890"/>
      <c r="D76" s="890"/>
      <c r="E76" s="890"/>
      <c r="F76" s="891"/>
      <c r="G76" s="551"/>
      <c r="H76" s="31"/>
      <c r="I76" s="31"/>
      <c r="J76" s="31"/>
      <c r="K76" s="31"/>
      <c r="L76" s="31"/>
      <c r="M76" s="31"/>
      <c r="N76" s="536"/>
    </row>
    <row r="77" spans="1:14" s="370" customFormat="1">
      <c r="A77" s="562"/>
      <c r="B77" s="556"/>
      <c r="C77" s="638"/>
      <c r="D77" s="556"/>
      <c r="E77" s="556"/>
      <c r="F77" s="556"/>
      <c r="G77" s="551"/>
      <c r="H77" s="31"/>
      <c r="I77" s="31"/>
      <c r="J77" s="31"/>
      <c r="K77" s="31"/>
      <c r="L77" s="31"/>
      <c r="M77" s="31"/>
      <c r="N77" s="536"/>
    </row>
    <row r="78" spans="1:14" s="370" customFormat="1">
      <c r="A78" s="565" t="s">
        <v>265</v>
      </c>
      <c r="B78" s="556"/>
      <c r="C78" s="638"/>
      <c r="D78" s="556"/>
      <c r="E78" s="556"/>
      <c r="F78" s="556"/>
      <c r="G78" s="551"/>
      <c r="H78" s="31"/>
      <c r="I78" s="31"/>
      <c r="J78" s="31"/>
      <c r="K78" s="31"/>
      <c r="L78" s="31"/>
      <c r="M78" s="31"/>
      <c r="N78" s="536"/>
    </row>
    <row r="79" spans="1:14" s="370" customFormat="1">
      <c r="A79" s="566" t="s">
        <v>266</v>
      </c>
      <c r="B79" s="556"/>
      <c r="C79" s="638"/>
      <c r="D79" s="556"/>
      <c r="E79" s="556"/>
      <c r="F79" s="556"/>
      <c r="G79" s="551"/>
      <c r="H79" s="31"/>
      <c r="I79" s="31"/>
      <c r="J79" s="31"/>
      <c r="K79" s="31"/>
      <c r="L79" s="31"/>
      <c r="M79" s="31"/>
      <c r="N79" s="536"/>
    </row>
    <row r="80" spans="1:14" s="370" customFormat="1" ht="28.5" customHeight="1">
      <c r="A80" s="892" t="s">
        <v>1030</v>
      </c>
      <c r="B80" s="893"/>
      <c r="C80" s="893"/>
      <c r="D80" s="893"/>
      <c r="E80" s="893"/>
      <c r="F80" s="893"/>
      <c r="G80" s="551"/>
      <c r="H80" s="31"/>
      <c r="I80" s="31"/>
      <c r="J80" s="31"/>
      <c r="K80" s="31"/>
      <c r="L80" s="31"/>
      <c r="M80" s="31"/>
      <c r="N80" s="536"/>
    </row>
    <row r="81" spans="1:14" s="370" customFormat="1">
      <c r="A81" s="903"/>
      <c r="B81" s="904"/>
      <c r="C81" s="904"/>
      <c r="D81" s="904"/>
      <c r="E81" s="904"/>
      <c r="F81" s="905"/>
      <c r="G81" s="551"/>
      <c r="H81" s="31"/>
      <c r="I81" s="31"/>
      <c r="J81" s="31"/>
      <c r="K81" s="31"/>
      <c r="L81" s="31"/>
      <c r="M81" s="31"/>
      <c r="N81" s="536"/>
    </row>
    <row r="82" spans="1:14" s="370" customFormat="1">
      <c r="A82" s="894"/>
      <c r="B82" s="895"/>
      <c r="C82" s="895"/>
      <c r="D82" s="895"/>
      <c r="E82" s="895"/>
      <c r="F82" s="895"/>
      <c r="G82" s="551"/>
      <c r="H82" s="31"/>
      <c r="I82" s="31"/>
      <c r="J82" s="31"/>
      <c r="K82" s="31"/>
      <c r="L82" s="31"/>
      <c r="M82" s="31"/>
      <c r="N82" s="536"/>
    </row>
    <row r="83" spans="1:14" s="370" customFormat="1">
      <c r="A83" s="566" t="s">
        <v>268</v>
      </c>
      <c r="B83" s="556"/>
      <c r="C83" s="638"/>
      <c r="D83" s="556"/>
      <c r="E83" s="556"/>
      <c r="F83" s="556"/>
      <c r="G83" s="551"/>
      <c r="H83" s="31"/>
      <c r="I83" s="31"/>
      <c r="J83" s="31"/>
      <c r="K83" s="31"/>
      <c r="L83" s="31"/>
      <c r="M83" s="31"/>
      <c r="N83" s="536"/>
    </row>
    <row r="84" spans="1:14" s="370" customFormat="1" ht="28" customHeight="1">
      <c r="A84" s="896" t="s">
        <v>269</v>
      </c>
      <c r="B84" s="897"/>
      <c r="C84" s="897"/>
      <c r="D84" s="897"/>
      <c r="E84" s="897"/>
      <c r="F84" s="897"/>
      <c r="G84" s="551"/>
      <c r="H84" s="31"/>
      <c r="I84" s="31"/>
      <c r="J84" s="31"/>
      <c r="K84" s="31"/>
      <c r="L84" s="31"/>
      <c r="M84" s="31"/>
      <c r="N84" s="536"/>
    </row>
    <row r="85" spans="1:14" s="370" customFormat="1">
      <c r="A85" s="889"/>
      <c r="B85" s="890"/>
      <c r="C85" s="890"/>
      <c r="D85" s="890"/>
      <c r="E85" s="890"/>
      <c r="F85" s="891"/>
      <c r="G85" s="551"/>
      <c r="H85" s="31"/>
      <c r="I85" s="31"/>
      <c r="J85" s="31"/>
      <c r="K85" s="31"/>
      <c r="L85" s="31"/>
      <c r="M85" s="31"/>
      <c r="N85" s="536"/>
    </row>
    <row r="86" spans="1:14" s="370" customFormat="1" ht="15" thickBot="1">
      <c r="A86" s="567"/>
      <c r="B86" s="568"/>
      <c r="C86" s="569"/>
      <c r="D86" s="568"/>
      <c r="E86" s="568"/>
      <c r="F86" s="568"/>
      <c r="G86" s="570"/>
      <c r="H86" s="31"/>
      <c r="I86" s="31"/>
      <c r="J86" s="31"/>
      <c r="K86" s="31"/>
      <c r="L86" s="31"/>
      <c r="M86" s="31"/>
      <c r="N86" s="536"/>
    </row>
    <row r="87" spans="1:14" s="370" customFormat="1">
      <c r="A87" s="31"/>
      <c r="B87" s="31"/>
      <c r="C87" s="32"/>
      <c r="D87" s="31"/>
      <c r="E87" s="31"/>
      <c r="F87" s="31"/>
      <c r="G87" s="31"/>
      <c r="H87" s="31"/>
      <c r="I87" s="31"/>
      <c r="J87" s="31"/>
      <c r="K87" s="31"/>
      <c r="L87" s="31"/>
      <c r="M87" s="31"/>
      <c r="N87" s="536"/>
    </row>
    <row r="88" spans="1:14" s="370" customFormat="1">
      <c r="C88" s="639"/>
    </row>
  </sheetData>
  <mergeCells count="17">
    <mergeCell ref="A84:F84"/>
    <mergeCell ref="A85:F85"/>
    <mergeCell ref="A75:E75"/>
    <mergeCell ref="A76:F76"/>
    <mergeCell ref="A80:F80"/>
    <mergeCell ref="A81:F81"/>
    <mergeCell ref="A82:F82"/>
    <mergeCell ref="A66:F66"/>
    <mergeCell ref="A69:F69"/>
    <mergeCell ref="A71:F71"/>
    <mergeCell ref="A72:F72"/>
    <mergeCell ref="A73:F73"/>
    <mergeCell ref="A1:N1"/>
    <mergeCell ref="A57:F57"/>
    <mergeCell ref="A58:F58"/>
    <mergeCell ref="A59:B59"/>
    <mergeCell ref="A65:F65"/>
  </mergeCells>
  <printOptions horizontalCentered="1"/>
  <pageMargins left="0.45" right="0.45" top="0.75" bottom="0.75" header="0.3" footer="0.3"/>
  <pageSetup scale="59" orientation="landscape" r:id="rId1"/>
  <headerFooter>
    <oddHeader xml:space="preserve">&amp;CDRAFT NOT FOR DISTRIBUTION, INTERNAL USE ONLY
</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2" tint="-0.249977111117893"/>
    <pageSetUpPr fitToPage="1"/>
  </sheetPr>
  <dimension ref="A1:O93"/>
  <sheetViews>
    <sheetView zoomScaleNormal="100" workbookViewId="0">
      <selection sqref="A1:N1"/>
    </sheetView>
  </sheetViews>
  <sheetFormatPr defaultRowHeight="14.5"/>
  <cols>
    <col min="1" max="1" width="39.54296875" customWidth="1"/>
    <col min="2" max="2" width="7.1796875" customWidth="1"/>
    <col min="3" max="3" width="7.7265625" style="30" customWidth="1"/>
    <col min="4" max="4" width="11.81640625" bestFit="1" customWidth="1"/>
    <col min="5" max="5" width="10.7265625" customWidth="1"/>
    <col min="6" max="6" width="11" customWidth="1"/>
    <col min="7" max="7" width="9.54296875" customWidth="1"/>
    <col min="8" max="8" width="8.453125" customWidth="1"/>
    <col min="9" max="10" width="7.1796875" customWidth="1"/>
    <col min="11" max="11" width="7.7265625" customWidth="1"/>
    <col min="12" max="12" width="9.7265625" customWidth="1"/>
    <col min="13" max="13" width="9.1796875" customWidth="1"/>
    <col min="14" max="14" width="29.81640625" customWidth="1"/>
    <col min="15" max="15" width="29.1796875" customWidth="1"/>
  </cols>
  <sheetData>
    <row r="1" spans="1:14" ht="15.5">
      <c r="A1" s="854" t="s">
        <v>165</v>
      </c>
      <c r="B1" s="854"/>
      <c r="C1" s="854"/>
      <c r="D1" s="854"/>
      <c r="E1" s="854"/>
      <c r="F1" s="854"/>
      <c r="G1" s="854"/>
      <c r="H1" s="854"/>
      <c r="I1" s="854"/>
      <c r="J1" s="854"/>
      <c r="K1" s="854"/>
      <c r="L1" s="854"/>
      <c r="M1" s="854"/>
      <c r="N1" s="854"/>
    </row>
    <row r="2" spans="1:14">
      <c r="A2" s="702" t="s">
        <v>848</v>
      </c>
      <c r="B2" s="370"/>
      <c r="C2" s="639"/>
      <c r="D2" s="370"/>
      <c r="E2" s="370"/>
      <c r="F2" s="370"/>
      <c r="G2" s="370"/>
      <c r="H2" s="370"/>
      <c r="I2" s="370"/>
      <c r="J2" s="370"/>
      <c r="K2" s="370"/>
      <c r="L2" s="370"/>
      <c r="M2" s="370"/>
      <c r="N2" s="370"/>
    </row>
    <row r="3" spans="1:14">
      <c r="A3" s="506" t="s">
        <v>822</v>
      </c>
      <c r="B3" s="370"/>
      <c r="C3" s="639"/>
      <c r="D3" s="370"/>
      <c r="E3" s="370"/>
      <c r="F3" s="451" t="s">
        <v>210</v>
      </c>
      <c r="G3" s="370"/>
      <c r="H3" s="370"/>
      <c r="I3" s="370"/>
      <c r="J3" s="370"/>
      <c r="K3" s="370"/>
      <c r="L3" s="370"/>
      <c r="M3" s="370"/>
      <c r="N3" s="370"/>
    </row>
    <row r="4" spans="1:14">
      <c r="A4" s="506" t="s">
        <v>1304</v>
      </c>
      <c r="B4" s="31"/>
      <c r="C4" s="32"/>
      <c r="D4" s="31"/>
      <c r="E4" s="31"/>
      <c r="F4" s="370"/>
      <c r="G4" s="370"/>
      <c r="H4" s="370"/>
      <c r="I4" s="370"/>
      <c r="J4" s="370"/>
      <c r="K4" s="370"/>
      <c r="L4" s="370"/>
      <c r="M4" s="370"/>
      <c r="N4" s="370"/>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v>0</v>
      </c>
      <c r="G7" s="304">
        <v>0</v>
      </c>
      <c r="H7" s="304">
        <v>0</v>
      </c>
      <c r="I7" s="304">
        <v>0</v>
      </c>
      <c r="J7" s="304">
        <v>0</v>
      </c>
      <c r="K7" s="304">
        <v>0</v>
      </c>
      <c r="L7" s="304">
        <v>0</v>
      </c>
      <c r="M7" s="305">
        <v>0</v>
      </c>
      <c r="N7" s="31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48"/>
    </row>
    <row r="17" spans="1:15">
      <c r="A17" s="67" t="s">
        <v>220</v>
      </c>
      <c r="B17" s="68"/>
      <c r="C17" s="69"/>
      <c r="D17" s="68"/>
      <c r="E17" s="68"/>
      <c r="F17" s="70"/>
      <c r="G17" s="70"/>
      <c r="H17" s="70"/>
      <c r="I17" s="70"/>
      <c r="J17" s="70"/>
      <c r="K17" s="70"/>
      <c r="L17" s="70"/>
      <c r="M17" s="70"/>
      <c r="N17" s="70"/>
      <c r="O17" s="370"/>
    </row>
    <row r="18" spans="1:15">
      <c r="A18" s="259" t="s">
        <v>278</v>
      </c>
      <c r="B18" s="259"/>
      <c r="C18" s="44">
        <v>252</v>
      </c>
      <c r="D18" s="45"/>
      <c r="E18" s="258">
        <v>0</v>
      </c>
      <c r="F18" s="350">
        <f>SUM(G18:M18)</f>
        <v>0</v>
      </c>
      <c r="G18" s="304">
        <v>0</v>
      </c>
      <c r="H18" s="304">
        <v>0</v>
      </c>
      <c r="I18" s="304">
        <v>0</v>
      </c>
      <c r="J18" s="304">
        <v>0</v>
      </c>
      <c r="K18" s="304">
        <v>0</v>
      </c>
      <c r="L18" s="304">
        <v>0</v>
      </c>
      <c r="M18" s="305">
        <v>0</v>
      </c>
      <c r="N18" s="320"/>
      <c r="O18" s="456"/>
    </row>
    <row r="19" spans="1:15">
      <c r="A19" s="259" t="s">
        <v>278</v>
      </c>
      <c r="B19" s="259"/>
      <c r="C19" s="44">
        <v>253</v>
      </c>
      <c r="D19" s="45"/>
      <c r="E19" s="258">
        <v>0</v>
      </c>
      <c r="F19" s="350">
        <f>SUM(G19:M19)</f>
        <v>0</v>
      </c>
      <c r="G19" s="304">
        <v>0</v>
      </c>
      <c r="H19" s="304">
        <v>0</v>
      </c>
      <c r="I19" s="304">
        <v>0</v>
      </c>
      <c r="J19" s="304">
        <v>0</v>
      </c>
      <c r="K19" s="304">
        <v>0</v>
      </c>
      <c r="L19" s="304">
        <v>0</v>
      </c>
      <c r="M19" s="305">
        <v>0</v>
      </c>
      <c r="N19" s="319"/>
      <c r="O19" s="370"/>
    </row>
    <row r="20" spans="1:15">
      <c r="A20" s="259" t="s">
        <v>278</v>
      </c>
      <c r="B20" s="259"/>
      <c r="C20" s="44">
        <v>253</v>
      </c>
      <c r="D20" s="262"/>
      <c r="E20" s="258">
        <v>0</v>
      </c>
      <c r="F20" s="350">
        <f>SUM(G20:M20)</f>
        <v>0</v>
      </c>
      <c r="G20" s="304">
        <v>0</v>
      </c>
      <c r="H20" s="304">
        <v>0</v>
      </c>
      <c r="I20" s="304">
        <v>0</v>
      </c>
      <c r="J20" s="304">
        <v>0</v>
      </c>
      <c r="K20" s="304">
        <v>0</v>
      </c>
      <c r="L20" s="304">
        <v>0</v>
      </c>
      <c r="M20" s="305">
        <v>0</v>
      </c>
      <c r="N20" s="348"/>
      <c r="O20" s="370"/>
    </row>
    <row r="21" spans="1:15" s="7" customFormat="1">
      <c r="A21" s="259" t="s">
        <v>278</v>
      </c>
      <c r="B21" s="259"/>
      <c r="C21" s="44">
        <v>253</v>
      </c>
      <c r="D21" s="262"/>
      <c r="E21" s="258">
        <v>0</v>
      </c>
      <c r="F21" s="350">
        <f>SUM(G21:M21)</f>
        <v>0</v>
      </c>
      <c r="G21" s="304">
        <v>0</v>
      </c>
      <c r="H21" s="304">
        <v>0</v>
      </c>
      <c r="I21" s="304">
        <v>0</v>
      </c>
      <c r="J21" s="304">
        <v>0</v>
      </c>
      <c r="K21" s="304">
        <v>0</v>
      </c>
      <c r="L21" s="304">
        <v>0</v>
      </c>
      <c r="M21" s="305">
        <v>0</v>
      </c>
      <c r="N21" s="319"/>
      <c r="O21" s="351"/>
    </row>
    <row r="22" spans="1:15">
      <c r="A22" s="40" t="s">
        <v>225</v>
      </c>
      <c r="B22" s="260"/>
      <c r="C22" s="261"/>
      <c r="D22" s="262">
        <f>SUM(D18:D21)</f>
        <v>0</v>
      </c>
      <c r="E22" s="43">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48"/>
      <c r="O22" s="370"/>
    </row>
    <row r="23" spans="1:15" s="7" customFormat="1">
      <c r="A23" s="125" t="s">
        <v>226</v>
      </c>
      <c r="B23" s="126"/>
      <c r="C23" s="126"/>
      <c r="D23" s="126"/>
      <c r="E23" s="87"/>
      <c r="F23" s="87"/>
      <c r="G23" s="87"/>
      <c r="H23" s="87"/>
      <c r="I23" s="87"/>
      <c r="J23" s="87"/>
      <c r="K23" s="87"/>
      <c r="L23" s="87"/>
      <c r="M23" s="87"/>
      <c r="N23" s="128"/>
      <c r="O23" s="351"/>
    </row>
    <row r="24" spans="1:15" ht="15" customHeight="1">
      <c r="A24" s="259" t="s">
        <v>227</v>
      </c>
      <c r="B24" s="36"/>
      <c r="C24" s="37" t="s">
        <v>228</v>
      </c>
      <c r="D24" s="38">
        <v>0</v>
      </c>
      <c r="E24" s="258">
        <v>0</v>
      </c>
      <c r="F24" s="303">
        <f t="shared" ref="F24:F36" si="3">SUM(G24:M24)</f>
        <v>0</v>
      </c>
      <c r="G24" s="304">
        <v>0</v>
      </c>
      <c r="H24" s="304">
        <v>0</v>
      </c>
      <c r="I24" s="304">
        <v>0</v>
      </c>
      <c r="J24" s="304">
        <v>0</v>
      </c>
      <c r="K24" s="304">
        <v>0</v>
      </c>
      <c r="L24" s="304">
        <v>0</v>
      </c>
      <c r="M24" s="305">
        <v>0</v>
      </c>
      <c r="N24" s="318"/>
      <c r="O24" s="370"/>
    </row>
    <row r="25" spans="1:15">
      <c r="A25" s="259" t="s">
        <v>229</v>
      </c>
      <c r="B25" s="36"/>
      <c r="C25" s="44" t="s">
        <v>230</v>
      </c>
      <c r="D25" s="45"/>
      <c r="E25" s="258">
        <v>0</v>
      </c>
      <c r="F25" s="303">
        <f t="shared" si="3"/>
        <v>0</v>
      </c>
      <c r="G25" s="304">
        <v>0</v>
      </c>
      <c r="H25" s="304">
        <v>0</v>
      </c>
      <c r="I25" s="304">
        <v>0</v>
      </c>
      <c r="J25" s="304">
        <v>0</v>
      </c>
      <c r="K25" s="304">
        <v>0</v>
      </c>
      <c r="L25" s="304">
        <v>0</v>
      </c>
      <c r="M25" s="305">
        <v>0</v>
      </c>
      <c r="N25" s="348"/>
      <c r="O25" s="370"/>
    </row>
    <row r="26" spans="1:15">
      <c r="A26" s="259" t="s">
        <v>231</v>
      </c>
      <c r="B26" s="36"/>
      <c r="C26" s="44" t="s">
        <v>232</v>
      </c>
      <c r="D26" s="45"/>
      <c r="E26" s="258">
        <v>0</v>
      </c>
      <c r="F26" s="303">
        <f t="shared" si="3"/>
        <v>0</v>
      </c>
      <c r="G26" s="304">
        <v>0</v>
      </c>
      <c r="H26" s="304">
        <v>0</v>
      </c>
      <c r="I26" s="304">
        <v>0</v>
      </c>
      <c r="J26" s="304">
        <v>0</v>
      </c>
      <c r="K26" s="304">
        <v>0</v>
      </c>
      <c r="L26" s="304">
        <v>0</v>
      </c>
      <c r="M26" s="305">
        <v>0</v>
      </c>
      <c r="N26" s="348"/>
      <c r="O26" s="370"/>
    </row>
    <row r="27" spans="1:15">
      <c r="A27" s="259" t="s">
        <v>233</v>
      </c>
      <c r="B27" s="36"/>
      <c r="C27" s="44" t="s">
        <v>234</v>
      </c>
      <c r="D27" s="45"/>
      <c r="E27" s="258">
        <v>0</v>
      </c>
      <c r="F27" s="303">
        <f t="shared" si="3"/>
        <v>0</v>
      </c>
      <c r="G27" s="304">
        <v>0</v>
      </c>
      <c r="H27" s="304">
        <v>0</v>
      </c>
      <c r="I27" s="304">
        <v>0</v>
      </c>
      <c r="J27" s="304">
        <v>0</v>
      </c>
      <c r="K27" s="304">
        <v>0</v>
      </c>
      <c r="L27" s="304">
        <v>0</v>
      </c>
      <c r="M27" s="305">
        <v>0</v>
      </c>
      <c r="N27" s="348"/>
      <c r="O27" s="370"/>
    </row>
    <row r="28" spans="1:15">
      <c r="A28" s="259" t="s">
        <v>235</v>
      </c>
      <c r="B28" s="36"/>
      <c r="C28" s="44">
        <v>251</v>
      </c>
      <c r="D28" s="45"/>
      <c r="E28" s="258">
        <v>0</v>
      </c>
      <c r="F28" s="303">
        <f t="shared" si="3"/>
        <v>0</v>
      </c>
      <c r="G28" s="304">
        <v>0</v>
      </c>
      <c r="H28" s="304">
        <v>0</v>
      </c>
      <c r="I28" s="304">
        <v>0</v>
      </c>
      <c r="J28" s="304">
        <v>0</v>
      </c>
      <c r="K28" s="304">
        <v>0</v>
      </c>
      <c r="L28" s="304">
        <v>0</v>
      </c>
      <c r="M28" s="305">
        <v>0</v>
      </c>
      <c r="N28" s="318"/>
      <c r="O28" s="370"/>
    </row>
    <row r="29" spans="1:15" s="149" customFormat="1" ht="29">
      <c r="A29" s="259" t="s">
        <v>316</v>
      </c>
      <c r="B29" s="36"/>
      <c r="C29" s="44">
        <v>251</v>
      </c>
      <c r="D29" s="45"/>
      <c r="E29" s="258">
        <v>55</v>
      </c>
      <c r="F29" s="303">
        <f t="shared" si="3"/>
        <v>55</v>
      </c>
      <c r="G29" s="304"/>
      <c r="H29" s="304">
        <v>55</v>
      </c>
      <c r="I29" s="304"/>
      <c r="J29" s="304">
        <v>0</v>
      </c>
      <c r="K29" s="304">
        <v>0</v>
      </c>
      <c r="L29" s="304">
        <v>0</v>
      </c>
      <c r="M29" s="305">
        <v>0</v>
      </c>
      <c r="N29" s="538" t="s">
        <v>778</v>
      </c>
      <c r="O29" s="370"/>
    </row>
    <row r="30" spans="1:15">
      <c r="A30" s="259" t="s">
        <v>242</v>
      </c>
      <c r="B30" s="36"/>
      <c r="C30" s="44">
        <v>252</v>
      </c>
      <c r="D30" s="45"/>
      <c r="E30" s="258">
        <v>0</v>
      </c>
      <c r="F30" s="303">
        <f t="shared" si="3"/>
        <v>0</v>
      </c>
      <c r="G30" s="304">
        <v>0</v>
      </c>
      <c r="H30" s="304">
        <v>0</v>
      </c>
      <c r="I30" s="304">
        <v>0</v>
      </c>
      <c r="J30" s="304">
        <v>0</v>
      </c>
      <c r="K30" s="304">
        <v>0</v>
      </c>
      <c r="L30" s="304">
        <v>0</v>
      </c>
      <c r="M30" s="305">
        <v>0</v>
      </c>
      <c r="N30" s="348"/>
      <c r="O30" s="370"/>
    </row>
    <row r="31" spans="1:15">
      <c r="A31" s="259" t="s">
        <v>243</v>
      </c>
      <c r="B31" s="36"/>
      <c r="C31" s="44">
        <v>252</v>
      </c>
      <c r="D31" s="45"/>
      <c r="E31" s="258">
        <v>0</v>
      </c>
      <c r="F31" s="303">
        <f t="shared" si="3"/>
        <v>0</v>
      </c>
      <c r="G31" s="304">
        <v>0</v>
      </c>
      <c r="H31" s="304">
        <v>0</v>
      </c>
      <c r="I31" s="304">
        <v>0</v>
      </c>
      <c r="J31" s="304">
        <v>0</v>
      </c>
      <c r="K31" s="304">
        <v>0</v>
      </c>
      <c r="L31" s="304">
        <v>0</v>
      </c>
      <c r="M31" s="305">
        <v>0</v>
      </c>
      <c r="N31" s="348"/>
      <c r="O31" s="370"/>
    </row>
    <row r="32" spans="1:15">
      <c r="A32" s="259" t="s">
        <v>244</v>
      </c>
      <c r="B32" s="36"/>
      <c r="C32" s="44">
        <v>253</v>
      </c>
      <c r="D32" s="259"/>
      <c r="E32" s="258">
        <v>0</v>
      </c>
      <c r="F32" s="303">
        <f t="shared" si="3"/>
        <v>0</v>
      </c>
      <c r="G32" s="304">
        <v>0</v>
      </c>
      <c r="H32" s="304">
        <v>0</v>
      </c>
      <c r="I32" s="304">
        <v>0</v>
      </c>
      <c r="J32" s="304">
        <v>0</v>
      </c>
      <c r="K32" s="304">
        <v>0</v>
      </c>
      <c r="L32" s="304">
        <v>0</v>
      </c>
      <c r="M32" s="305">
        <v>0</v>
      </c>
      <c r="N32" s="348"/>
      <c r="O32" s="370"/>
    </row>
    <row r="33" spans="1:14">
      <c r="A33" s="259" t="s">
        <v>245</v>
      </c>
      <c r="B33" s="36"/>
      <c r="C33" s="44">
        <v>255</v>
      </c>
      <c r="D33" s="259"/>
      <c r="E33" s="258">
        <v>0</v>
      </c>
      <c r="F33" s="303">
        <f t="shared" si="3"/>
        <v>0</v>
      </c>
      <c r="G33" s="304">
        <v>0</v>
      </c>
      <c r="H33" s="304">
        <v>0</v>
      </c>
      <c r="I33" s="304">
        <v>0</v>
      </c>
      <c r="J33" s="304">
        <v>0</v>
      </c>
      <c r="K33" s="304">
        <v>0</v>
      </c>
      <c r="L33" s="304">
        <v>0</v>
      </c>
      <c r="M33" s="305">
        <v>0</v>
      </c>
      <c r="N33" s="348"/>
    </row>
    <row r="34" spans="1:14">
      <c r="A34" s="259" t="s">
        <v>246</v>
      </c>
      <c r="B34" s="36"/>
      <c r="C34" s="44">
        <v>256</v>
      </c>
      <c r="D34" s="259"/>
      <c r="E34" s="258">
        <v>0</v>
      </c>
      <c r="F34" s="303">
        <f t="shared" si="3"/>
        <v>0</v>
      </c>
      <c r="G34" s="304">
        <v>0</v>
      </c>
      <c r="H34" s="304">
        <v>0</v>
      </c>
      <c r="I34" s="304">
        <v>0</v>
      </c>
      <c r="J34" s="304">
        <v>0</v>
      </c>
      <c r="K34" s="304">
        <v>0</v>
      </c>
      <c r="L34" s="304">
        <v>0</v>
      </c>
      <c r="M34" s="305">
        <v>0</v>
      </c>
      <c r="N34" s="348"/>
    </row>
    <row r="35" spans="1:14">
      <c r="A35" s="259" t="s">
        <v>247</v>
      </c>
      <c r="B35" s="36"/>
      <c r="C35" s="44">
        <v>257</v>
      </c>
      <c r="D35" s="259"/>
      <c r="E35" s="258">
        <v>0</v>
      </c>
      <c r="F35" s="303">
        <f t="shared" si="3"/>
        <v>0</v>
      </c>
      <c r="G35" s="304">
        <v>0</v>
      </c>
      <c r="H35" s="304">
        <v>0</v>
      </c>
      <c r="I35" s="304">
        <v>0</v>
      </c>
      <c r="J35" s="304">
        <v>0</v>
      </c>
      <c r="K35" s="304">
        <v>0</v>
      </c>
      <c r="L35" s="304">
        <v>0</v>
      </c>
      <c r="M35" s="305">
        <v>0</v>
      </c>
      <c r="N35" s="158"/>
    </row>
    <row r="36" spans="1:14">
      <c r="A36" s="259" t="s">
        <v>248</v>
      </c>
      <c r="B36" s="36"/>
      <c r="C36" s="44" t="s">
        <v>249</v>
      </c>
      <c r="D36" s="259"/>
      <c r="E36" s="258">
        <v>0</v>
      </c>
      <c r="F36" s="303">
        <f t="shared" si="3"/>
        <v>0</v>
      </c>
      <c r="G36" s="304">
        <v>0</v>
      </c>
      <c r="H36" s="304">
        <v>0</v>
      </c>
      <c r="I36" s="304">
        <v>0</v>
      </c>
      <c r="J36" s="304">
        <v>0</v>
      </c>
      <c r="K36" s="304">
        <v>0</v>
      </c>
      <c r="L36" s="304">
        <v>0</v>
      </c>
      <c r="M36" s="305">
        <v>0</v>
      </c>
      <c r="N36" s="348"/>
    </row>
    <row r="37" spans="1:14" s="370" customFormat="1">
      <c r="A37" s="260" t="s">
        <v>250</v>
      </c>
      <c r="B37" s="36"/>
      <c r="C37" s="261" t="s">
        <v>251</v>
      </c>
      <c r="D37" s="241"/>
      <c r="E37" s="258">
        <v>0</v>
      </c>
      <c r="F37" s="303">
        <f>SUM(G37:M37)</f>
        <v>0</v>
      </c>
      <c r="G37" s="304">
        <v>0</v>
      </c>
      <c r="H37" s="304">
        <v>0</v>
      </c>
      <c r="I37" s="304">
        <v>0</v>
      </c>
      <c r="J37" s="304">
        <v>0</v>
      </c>
      <c r="K37" s="304">
        <v>0</v>
      </c>
      <c r="L37" s="304">
        <v>0</v>
      </c>
      <c r="M37" s="305">
        <v>0</v>
      </c>
      <c r="N37" s="348"/>
    </row>
    <row r="38" spans="1:14">
      <c r="A38" s="260" t="s">
        <v>252</v>
      </c>
      <c r="B38" s="378"/>
      <c r="C38" s="261" t="s">
        <v>253</v>
      </c>
      <c r="D38" s="260"/>
      <c r="E38" s="311">
        <v>0</v>
      </c>
      <c r="F38" s="303">
        <f>SUM(G38:M38)</f>
        <v>0</v>
      </c>
      <c r="G38" s="163">
        <v>0</v>
      </c>
      <c r="H38" s="163">
        <v>0</v>
      </c>
      <c r="I38" s="163">
        <v>0</v>
      </c>
      <c r="J38" s="163">
        <v>0</v>
      </c>
      <c r="K38" s="163">
        <v>0</v>
      </c>
      <c r="L38" s="163">
        <v>0</v>
      </c>
      <c r="M38" s="164">
        <v>0</v>
      </c>
      <c r="N38" s="318"/>
    </row>
    <row r="39" spans="1:14">
      <c r="A39" s="40" t="s">
        <v>254</v>
      </c>
      <c r="B39" s="260"/>
      <c r="C39" s="261"/>
      <c r="D39" s="242"/>
      <c r="E39" s="237">
        <f t="shared" ref="E39:M39" si="4">SUM(E24:E38)</f>
        <v>55</v>
      </c>
      <c r="F39" s="238">
        <f t="shared" si="4"/>
        <v>55</v>
      </c>
      <c r="G39" s="238">
        <f t="shared" si="4"/>
        <v>0</v>
      </c>
      <c r="H39" s="238">
        <f t="shared" si="4"/>
        <v>55</v>
      </c>
      <c r="I39" s="238">
        <f t="shared" si="4"/>
        <v>0</v>
      </c>
      <c r="J39" s="238">
        <f t="shared" si="4"/>
        <v>0</v>
      </c>
      <c r="K39" s="238">
        <f t="shared" si="4"/>
        <v>0</v>
      </c>
      <c r="L39" s="238">
        <f t="shared" si="4"/>
        <v>0</v>
      </c>
      <c r="M39" s="238">
        <f t="shared" si="4"/>
        <v>0</v>
      </c>
      <c r="N39" s="348"/>
    </row>
    <row r="40" spans="1:14" s="149" customFormat="1">
      <c r="A40" s="40" t="s">
        <v>255</v>
      </c>
      <c r="B40" s="51"/>
      <c r="C40" s="147"/>
      <c r="D40" s="242"/>
      <c r="E40" s="239"/>
      <c r="F40" s="240">
        <f>SUM(G40:L40)</f>
        <v>0</v>
      </c>
      <c r="G40" s="240">
        <v>0</v>
      </c>
      <c r="H40" s="240">
        <v>0</v>
      </c>
      <c r="I40" s="240">
        <v>0</v>
      </c>
      <c r="J40" s="240">
        <v>0</v>
      </c>
      <c r="K40" s="240">
        <v>0</v>
      </c>
      <c r="L40" s="240">
        <v>0</v>
      </c>
      <c r="M40" s="240">
        <v>0</v>
      </c>
      <c r="N40" s="318"/>
    </row>
    <row r="41" spans="1:14">
      <c r="A41" s="40" t="s">
        <v>256</v>
      </c>
      <c r="B41" s="46"/>
      <c r="C41" s="47"/>
      <c r="D41" s="48">
        <f>D39+D22+D16</f>
        <v>0</v>
      </c>
      <c r="E41" s="237">
        <f>E39+E22+E16-E40</f>
        <v>55</v>
      </c>
      <c r="F41" s="17">
        <f t="shared" ref="F41:M41" si="5">F39+F22+F16-F40</f>
        <v>55</v>
      </c>
      <c r="G41" s="17">
        <f t="shared" si="5"/>
        <v>0</v>
      </c>
      <c r="H41" s="17">
        <f t="shared" si="5"/>
        <v>55</v>
      </c>
      <c r="I41" s="17">
        <f t="shared" si="5"/>
        <v>0</v>
      </c>
      <c r="J41" s="17">
        <f t="shared" si="5"/>
        <v>0</v>
      </c>
      <c r="K41" s="17">
        <f t="shared" si="5"/>
        <v>0</v>
      </c>
      <c r="L41" s="17">
        <f t="shared" si="5"/>
        <v>0</v>
      </c>
      <c r="M41" s="17">
        <f t="shared" si="5"/>
        <v>0</v>
      </c>
      <c r="N41" s="346"/>
    </row>
    <row r="44" spans="1:14" s="293" customFormat="1" ht="15" thickBot="1">
      <c r="A44" s="671"/>
      <c r="B44" s="671"/>
      <c r="C44" s="672"/>
      <c r="D44" s="671"/>
      <c r="E44" s="671"/>
      <c r="F44" s="671"/>
      <c r="G44" s="671"/>
      <c r="H44" s="671"/>
      <c r="I44" s="671"/>
      <c r="J44" s="671"/>
      <c r="K44" s="671"/>
      <c r="L44" s="671"/>
      <c r="M44" s="671"/>
      <c r="N44" s="673"/>
    </row>
    <row r="45" spans="1:14" s="293" customFormat="1" ht="15.5">
      <c r="A45" s="1062" t="s">
        <v>257</v>
      </c>
      <c r="B45" s="1063"/>
      <c r="C45" s="1063"/>
      <c r="D45" s="1063"/>
      <c r="E45" s="1063"/>
      <c r="F45" s="1063"/>
      <c r="G45" s="674"/>
      <c r="H45" s="671"/>
      <c r="I45" s="671"/>
      <c r="J45" s="671"/>
      <c r="K45" s="671"/>
      <c r="L45" s="671"/>
      <c r="M45" s="671"/>
      <c r="N45" s="673"/>
    </row>
    <row r="46" spans="1:14" s="293" customFormat="1" ht="15.5">
      <c r="A46" s="1064"/>
      <c r="B46" s="1065"/>
      <c r="C46" s="1065"/>
      <c r="D46" s="1065"/>
      <c r="E46" s="1065"/>
      <c r="F46" s="1065"/>
      <c r="G46" s="675"/>
      <c r="H46" s="671"/>
      <c r="I46" s="671"/>
      <c r="J46" s="671"/>
      <c r="K46" s="671"/>
      <c r="L46" s="671"/>
      <c r="M46" s="671"/>
      <c r="N46" s="673"/>
    </row>
    <row r="47" spans="1:14" s="293" customFormat="1">
      <c r="A47" s="1066" t="s">
        <v>258</v>
      </c>
      <c r="B47" s="1067"/>
      <c r="C47" s="676"/>
      <c r="D47" s="676"/>
      <c r="E47" s="676"/>
      <c r="F47" s="676"/>
      <c r="G47" s="675"/>
      <c r="H47" s="671"/>
      <c r="I47" s="671"/>
      <c r="J47" s="671"/>
      <c r="K47" s="671"/>
      <c r="L47" s="671"/>
      <c r="M47" s="671"/>
      <c r="N47" s="673"/>
    </row>
    <row r="48" spans="1:14" s="293" customFormat="1">
      <c r="A48" s="677" t="s">
        <v>1028</v>
      </c>
      <c r="B48" s="678">
        <f>E41</f>
        <v>55</v>
      </c>
      <c r="C48" s="679"/>
      <c r="D48" s="680"/>
      <c r="E48" s="680"/>
      <c r="F48" s="680"/>
      <c r="G48" s="675"/>
      <c r="H48" s="671"/>
      <c r="I48" s="671"/>
      <c r="J48" s="671"/>
      <c r="K48" s="671"/>
      <c r="L48" s="671"/>
      <c r="M48" s="671"/>
      <c r="N48" s="673"/>
    </row>
    <row r="49" spans="1:14" s="293" customFormat="1">
      <c r="A49" s="681" t="s">
        <v>1029</v>
      </c>
      <c r="B49" s="682">
        <f>F41</f>
        <v>55</v>
      </c>
      <c r="C49" s="679"/>
      <c r="D49" s="680"/>
      <c r="E49" s="680"/>
      <c r="F49" s="680"/>
      <c r="G49" s="675"/>
      <c r="H49" s="671"/>
      <c r="I49" s="671"/>
      <c r="J49" s="671"/>
      <c r="K49" s="671"/>
      <c r="L49" s="671"/>
      <c r="M49" s="671"/>
      <c r="N49" s="673"/>
    </row>
    <row r="50" spans="1:14" s="293" customFormat="1">
      <c r="A50" s="683" t="s">
        <v>259</v>
      </c>
      <c r="B50" s="684">
        <f>B49-B48</f>
        <v>0</v>
      </c>
      <c r="C50" s="679"/>
      <c r="D50" s="680"/>
      <c r="E50" s="680"/>
      <c r="F50" s="680"/>
      <c r="G50" s="675"/>
      <c r="H50" s="671"/>
      <c r="I50" s="671"/>
      <c r="J50" s="671"/>
      <c r="K50" s="671"/>
      <c r="L50" s="671"/>
      <c r="M50" s="671"/>
      <c r="N50" s="673"/>
    </row>
    <row r="51" spans="1:14" s="293" customFormat="1">
      <c r="A51" s="683" t="s">
        <v>260</v>
      </c>
      <c r="B51" s="685">
        <f>B50/B48</f>
        <v>0</v>
      </c>
      <c r="C51" s="679"/>
      <c r="D51" s="680"/>
      <c r="E51" s="680"/>
      <c r="F51" s="680"/>
      <c r="G51" s="675"/>
      <c r="H51" s="671"/>
      <c r="I51" s="671"/>
      <c r="J51" s="671"/>
      <c r="K51" s="671"/>
      <c r="L51" s="671"/>
      <c r="M51" s="671"/>
      <c r="N51" s="673"/>
    </row>
    <row r="52" spans="1:14" s="293" customFormat="1">
      <c r="A52" s="686"/>
      <c r="B52" s="680"/>
      <c r="C52" s="687"/>
      <c r="D52" s="680"/>
      <c r="E52" s="680"/>
      <c r="F52" s="680"/>
      <c r="G52" s="675"/>
      <c r="H52" s="671"/>
      <c r="I52" s="671"/>
      <c r="J52" s="671"/>
      <c r="K52" s="671"/>
      <c r="L52" s="671"/>
      <c r="M52" s="671"/>
      <c r="N52" s="673"/>
    </row>
    <row r="53" spans="1:14" s="293" customFormat="1">
      <c r="A53" s="1000" t="s">
        <v>261</v>
      </c>
      <c r="B53" s="1001"/>
      <c r="C53" s="1001"/>
      <c r="D53" s="1001"/>
      <c r="E53" s="1001"/>
      <c r="F53" s="1001"/>
      <c r="G53" s="675"/>
      <c r="H53" s="671"/>
      <c r="I53" s="671"/>
      <c r="J53" s="671"/>
      <c r="K53" s="671"/>
      <c r="L53" s="671"/>
      <c r="M53" s="671"/>
      <c r="N53" s="673"/>
    </row>
    <row r="54" spans="1:14" s="293" customFormat="1" ht="55.5" customHeight="1">
      <c r="A54" s="1077" t="s">
        <v>706</v>
      </c>
      <c r="B54" s="1078"/>
      <c r="C54" s="1078"/>
      <c r="D54" s="1078"/>
      <c r="E54" s="1078"/>
      <c r="F54" s="1079"/>
      <c r="G54" s="675"/>
      <c r="H54" s="671"/>
      <c r="I54" s="671"/>
      <c r="J54" s="671"/>
      <c r="K54" s="671"/>
      <c r="L54" s="671"/>
      <c r="M54" s="671"/>
      <c r="N54" s="673"/>
    </row>
    <row r="55" spans="1:14" s="293" customFormat="1">
      <c r="A55" s="688"/>
      <c r="B55" s="689"/>
      <c r="C55" s="689"/>
      <c r="D55" s="689"/>
      <c r="E55" s="689"/>
      <c r="F55" s="689"/>
      <c r="G55" s="675"/>
      <c r="H55" s="671"/>
      <c r="I55" s="671"/>
      <c r="J55" s="671"/>
      <c r="K55" s="671"/>
      <c r="L55" s="671"/>
      <c r="M55" s="671"/>
      <c r="N55" s="673"/>
    </row>
    <row r="56" spans="1:14" s="293" customFormat="1">
      <c r="A56" s="690" t="s">
        <v>262</v>
      </c>
      <c r="B56" s="680"/>
      <c r="C56" s="725"/>
      <c r="D56" s="680"/>
      <c r="E56" s="680"/>
      <c r="F56" s="680"/>
      <c r="G56" s="675"/>
      <c r="H56" s="671"/>
      <c r="I56" s="671"/>
      <c r="J56" s="671"/>
      <c r="K56" s="671"/>
      <c r="L56" s="671"/>
      <c r="M56" s="671"/>
      <c r="N56" s="673"/>
    </row>
    <row r="57" spans="1:14" s="293" customFormat="1" ht="42" customHeight="1">
      <c r="A57" s="1077" t="s">
        <v>707</v>
      </c>
      <c r="B57" s="1078"/>
      <c r="C57" s="1078"/>
      <c r="D57" s="1078"/>
      <c r="E57" s="1078"/>
      <c r="F57" s="1079"/>
      <c r="G57" s="675"/>
      <c r="H57" s="671"/>
      <c r="I57" s="671"/>
      <c r="J57" s="671"/>
      <c r="K57" s="671"/>
      <c r="L57" s="671"/>
      <c r="M57" s="671"/>
      <c r="N57" s="673"/>
    </row>
    <row r="58" spans="1:14" s="293" customFormat="1">
      <c r="A58" s="686"/>
      <c r="B58" s="680"/>
      <c r="C58" s="725"/>
      <c r="D58" s="680"/>
      <c r="E58" s="680"/>
      <c r="F58" s="680"/>
      <c r="G58" s="675"/>
      <c r="H58" s="671"/>
      <c r="I58" s="671"/>
      <c r="J58" s="671"/>
      <c r="K58" s="671"/>
      <c r="L58" s="671"/>
      <c r="M58" s="671"/>
      <c r="N58" s="673"/>
    </row>
    <row r="59" spans="1:14" s="293" customFormat="1">
      <c r="A59" s="1000" t="s">
        <v>1020</v>
      </c>
      <c r="B59" s="1001"/>
      <c r="C59" s="1001"/>
      <c r="D59" s="1001"/>
      <c r="E59" s="1001"/>
      <c r="F59" s="1001"/>
      <c r="G59" s="675"/>
      <c r="H59" s="671"/>
      <c r="I59" s="671"/>
      <c r="J59" s="671"/>
      <c r="K59" s="671"/>
      <c r="L59" s="671"/>
      <c r="M59" s="671"/>
      <c r="N59" s="673"/>
    </row>
    <row r="60" spans="1:14" s="293" customFormat="1">
      <c r="A60" s="1005" t="s">
        <v>1021</v>
      </c>
      <c r="B60" s="1006"/>
      <c r="C60" s="1006"/>
      <c r="D60" s="1006"/>
      <c r="E60" s="1006"/>
      <c r="F60" s="1006"/>
      <c r="G60" s="675"/>
      <c r="H60" s="671"/>
      <c r="I60" s="671"/>
      <c r="J60" s="671"/>
      <c r="K60" s="671"/>
      <c r="L60" s="671"/>
      <c r="M60" s="671"/>
      <c r="N60" s="673"/>
    </row>
    <row r="61" spans="1:14" s="293" customFormat="1" ht="58.5" customHeight="1">
      <c r="A61" s="1077" t="s">
        <v>708</v>
      </c>
      <c r="B61" s="1078"/>
      <c r="C61" s="1078"/>
      <c r="D61" s="1078"/>
      <c r="E61" s="1078"/>
      <c r="F61" s="1079"/>
      <c r="G61" s="675"/>
      <c r="H61" s="671"/>
      <c r="I61" s="671"/>
      <c r="J61" s="671"/>
      <c r="K61" s="671"/>
      <c r="L61" s="671"/>
      <c r="M61" s="671"/>
      <c r="N61" s="673"/>
    </row>
    <row r="62" spans="1:14" s="293" customFormat="1">
      <c r="A62" s="690"/>
      <c r="B62" s="680"/>
      <c r="C62" s="725"/>
      <c r="D62" s="680"/>
      <c r="E62" s="680"/>
      <c r="F62" s="680"/>
      <c r="G62" s="675"/>
      <c r="H62" s="671"/>
      <c r="I62" s="671"/>
      <c r="J62" s="671"/>
      <c r="K62" s="671"/>
      <c r="L62" s="671"/>
      <c r="M62" s="671"/>
      <c r="N62" s="673"/>
    </row>
    <row r="63" spans="1:14" s="293" customFormat="1">
      <c r="A63" s="1000" t="s">
        <v>264</v>
      </c>
      <c r="B63" s="1001"/>
      <c r="C63" s="1001"/>
      <c r="D63" s="1001"/>
      <c r="E63" s="1001"/>
      <c r="F63" s="680"/>
      <c r="G63" s="675"/>
      <c r="H63" s="671"/>
      <c r="I63" s="671"/>
      <c r="J63" s="671"/>
      <c r="K63" s="671"/>
      <c r="L63" s="671"/>
      <c r="M63" s="671"/>
      <c r="N63" s="673"/>
    </row>
    <row r="64" spans="1:14" s="293" customFormat="1" ht="30.15" customHeight="1">
      <c r="A64" s="1007" t="s">
        <v>709</v>
      </c>
      <c r="B64" s="1008"/>
      <c r="C64" s="1008"/>
      <c r="D64" s="1008"/>
      <c r="E64" s="1008"/>
      <c r="F64" s="1009"/>
      <c r="G64" s="675"/>
      <c r="H64" s="671"/>
      <c r="I64" s="671"/>
      <c r="J64" s="671"/>
      <c r="K64" s="671"/>
      <c r="L64" s="671"/>
      <c r="M64" s="671"/>
      <c r="N64" s="673"/>
    </row>
    <row r="65" spans="1:14" s="293" customFormat="1">
      <c r="A65" s="686"/>
      <c r="B65" s="680"/>
      <c r="C65" s="725"/>
      <c r="D65" s="680"/>
      <c r="E65" s="680"/>
      <c r="F65" s="680"/>
      <c r="G65" s="675"/>
      <c r="H65" s="671"/>
      <c r="I65" s="671"/>
      <c r="J65" s="671"/>
      <c r="K65" s="671"/>
      <c r="L65" s="671"/>
      <c r="M65" s="671"/>
      <c r="N65" s="673"/>
    </row>
    <row r="66" spans="1:14" s="293" customFormat="1">
      <c r="A66" s="690" t="s">
        <v>265</v>
      </c>
      <c r="B66" s="680"/>
      <c r="C66" s="725"/>
      <c r="D66" s="680"/>
      <c r="E66" s="680"/>
      <c r="F66" s="680"/>
      <c r="G66" s="675"/>
      <c r="H66" s="671"/>
      <c r="I66" s="671"/>
      <c r="J66" s="671"/>
      <c r="K66" s="671"/>
      <c r="L66" s="671"/>
      <c r="M66" s="671"/>
      <c r="N66" s="673"/>
    </row>
    <row r="67" spans="1:14" s="293" customFormat="1">
      <c r="A67" s="691" t="s">
        <v>266</v>
      </c>
      <c r="B67" s="680"/>
      <c r="C67" s="725"/>
      <c r="D67" s="680"/>
      <c r="E67" s="680"/>
      <c r="F67" s="680"/>
      <c r="G67" s="675"/>
      <c r="H67" s="671"/>
      <c r="I67" s="671"/>
      <c r="J67" s="671"/>
      <c r="K67" s="671"/>
      <c r="L67" s="671"/>
      <c r="M67" s="671"/>
      <c r="N67" s="673"/>
    </row>
    <row r="68" spans="1:14" s="293" customFormat="1" ht="26.25" customHeight="1">
      <c r="A68" s="892" t="s">
        <v>1030</v>
      </c>
      <c r="B68" s="893"/>
      <c r="C68" s="893"/>
      <c r="D68" s="893"/>
      <c r="E68" s="893"/>
      <c r="F68" s="893"/>
      <c r="G68" s="675"/>
      <c r="H68" s="671"/>
      <c r="I68" s="671"/>
      <c r="J68" s="671"/>
      <c r="K68" s="671"/>
      <c r="L68" s="671"/>
      <c r="M68" s="671"/>
      <c r="N68" s="673"/>
    </row>
    <row r="69" spans="1:14" s="293" customFormat="1" ht="26.25" customHeight="1">
      <c r="A69" s="1077" t="s">
        <v>710</v>
      </c>
      <c r="B69" s="1078"/>
      <c r="C69" s="1078"/>
      <c r="D69" s="1078"/>
      <c r="E69" s="1078"/>
      <c r="F69" s="1079"/>
      <c r="G69" s="675"/>
      <c r="H69" s="671"/>
      <c r="I69" s="671"/>
      <c r="J69" s="671"/>
      <c r="K69" s="671"/>
      <c r="L69" s="671"/>
      <c r="M69" s="671"/>
      <c r="N69" s="673"/>
    </row>
    <row r="70" spans="1:14" s="293" customFormat="1">
      <c r="A70" s="1012"/>
      <c r="B70" s="1013"/>
      <c r="C70" s="1013"/>
      <c r="D70" s="1013"/>
      <c r="E70" s="1013"/>
      <c r="F70" s="1013"/>
      <c r="G70" s="675"/>
      <c r="H70" s="671"/>
      <c r="I70" s="671"/>
      <c r="J70" s="671"/>
      <c r="K70" s="671"/>
      <c r="L70" s="671"/>
      <c r="M70" s="671"/>
      <c r="N70" s="673"/>
    </row>
    <row r="71" spans="1:14" s="293" customFormat="1">
      <c r="A71" s="691" t="s">
        <v>268</v>
      </c>
      <c r="B71" s="680"/>
      <c r="C71" s="725"/>
      <c r="D71" s="680"/>
      <c r="E71" s="680"/>
      <c r="F71" s="680"/>
      <c r="G71" s="675"/>
      <c r="H71" s="671"/>
      <c r="I71" s="671"/>
      <c r="J71" s="671"/>
      <c r="K71" s="671"/>
      <c r="L71" s="671"/>
      <c r="M71" s="671"/>
      <c r="N71" s="673"/>
    </row>
    <row r="72" spans="1:14" s="293" customFormat="1" ht="41.5" customHeight="1">
      <c r="A72" s="896" t="s">
        <v>269</v>
      </c>
      <c r="B72" s="897"/>
      <c r="C72" s="897"/>
      <c r="D72" s="897"/>
      <c r="E72" s="897"/>
      <c r="F72" s="897"/>
      <c r="G72" s="675"/>
      <c r="H72" s="671"/>
      <c r="I72" s="671"/>
      <c r="J72" s="671"/>
      <c r="K72" s="671"/>
      <c r="L72" s="671"/>
      <c r="M72" s="671"/>
      <c r="N72" s="673"/>
    </row>
    <row r="73" spans="1:14" s="293" customFormat="1" ht="30.75" customHeight="1">
      <c r="A73" s="1007" t="s">
        <v>452</v>
      </c>
      <c r="B73" s="1008"/>
      <c r="C73" s="1008"/>
      <c r="D73" s="1008"/>
      <c r="E73" s="1008"/>
      <c r="F73" s="1009"/>
      <c r="G73" s="675"/>
      <c r="H73" s="671"/>
      <c r="I73" s="671"/>
      <c r="J73" s="671"/>
      <c r="K73" s="671"/>
      <c r="L73" s="671"/>
      <c r="M73" s="671"/>
      <c r="N73" s="673"/>
    </row>
    <row r="74" spans="1:14" s="293" customFormat="1" ht="15" thickBot="1">
      <c r="A74" s="692"/>
      <c r="B74" s="693"/>
      <c r="C74" s="694"/>
      <c r="D74" s="693"/>
      <c r="E74" s="693"/>
      <c r="F74" s="693"/>
      <c r="G74" s="695"/>
      <c r="H74" s="671"/>
      <c r="I74" s="671"/>
      <c r="J74" s="671"/>
      <c r="K74" s="671"/>
      <c r="L74" s="671"/>
      <c r="M74" s="671"/>
      <c r="N74" s="673"/>
    </row>
    <row r="75" spans="1:14" s="293" customFormat="1">
      <c r="A75" s="671"/>
      <c r="B75" s="671"/>
      <c r="C75" s="672"/>
      <c r="D75" s="671"/>
      <c r="E75" s="671"/>
      <c r="F75" s="671"/>
      <c r="G75" s="671"/>
      <c r="H75" s="671"/>
      <c r="I75" s="671"/>
      <c r="J75" s="671"/>
      <c r="K75" s="671"/>
      <c r="L75" s="671"/>
      <c r="M75" s="671"/>
      <c r="N75" s="673"/>
    </row>
    <row r="76" spans="1:14" s="293" customFormat="1">
      <c r="A76" s="671"/>
      <c r="B76" s="671"/>
      <c r="C76" s="672"/>
      <c r="D76" s="671"/>
      <c r="E76" s="671"/>
      <c r="F76" s="671"/>
      <c r="G76" s="671"/>
      <c r="H76" s="671"/>
      <c r="I76" s="671"/>
      <c r="J76" s="671"/>
      <c r="K76" s="671"/>
      <c r="L76" s="671"/>
      <c r="M76" s="671"/>
      <c r="N76" s="673"/>
    </row>
    <row r="77" spans="1:14" s="293" customFormat="1">
      <c r="A77" s="671"/>
      <c r="B77" s="671"/>
      <c r="C77" s="672"/>
      <c r="D77" s="671"/>
      <c r="E77" s="671"/>
      <c r="F77" s="671"/>
      <c r="G77" s="671"/>
      <c r="H77" s="671"/>
      <c r="I77" s="671"/>
      <c r="J77" s="671"/>
      <c r="K77" s="671"/>
      <c r="L77" s="671"/>
      <c r="M77" s="671"/>
      <c r="N77" s="673"/>
    </row>
    <row r="78" spans="1:14" s="293" customFormat="1">
      <c r="A78" s="671"/>
      <c r="B78" s="671"/>
      <c r="C78" s="672"/>
      <c r="D78" s="671"/>
      <c r="E78" s="671"/>
      <c r="F78" s="671"/>
      <c r="G78" s="671"/>
      <c r="H78" s="671"/>
      <c r="I78" s="671"/>
      <c r="J78" s="671"/>
      <c r="K78" s="671"/>
      <c r="L78" s="671"/>
      <c r="M78" s="671"/>
      <c r="N78" s="673"/>
    </row>
    <row r="79" spans="1:14" s="293" customFormat="1">
      <c r="A79" s="671"/>
      <c r="B79" s="671"/>
      <c r="C79" s="672"/>
      <c r="D79" s="671"/>
      <c r="E79" s="671"/>
      <c r="F79" s="671"/>
      <c r="G79" s="671"/>
      <c r="H79" s="671"/>
      <c r="I79" s="671"/>
      <c r="J79" s="671"/>
      <c r="K79" s="671"/>
      <c r="L79" s="671"/>
      <c r="M79" s="671"/>
      <c r="N79" s="673"/>
    </row>
    <row r="80" spans="1:14" s="293" customFormat="1">
      <c r="A80" s="671"/>
      <c r="B80" s="671"/>
      <c r="C80" s="672"/>
      <c r="D80" s="671"/>
      <c r="E80" s="671"/>
      <c r="F80" s="671"/>
      <c r="G80" s="671"/>
      <c r="H80" s="671"/>
      <c r="I80" s="671"/>
      <c r="J80" s="671"/>
      <c r="K80" s="671"/>
      <c r="L80" s="671"/>
      <c r="M80" s="671"/>
      <c r="N80" s="673"/>
    </row>
    <row r="81" spans="1:14" s="293" customFormat="1">
      <c r="A81" s="671"/>
      <c r="B81" s="671"/>
      <c r="C81" s="672"/>
      <c r="D81" s="671"/>
      <c r="E81" s="671"/>
      <c r="F81" s="671"/>
      <c r="G81" s="671"/>
      <c r="H81" s="671"/>
      <c r="I81" s="671"/>
      <c r="J81" s="671"/>
      <c r="K81" s="671"/>
      <c r="L81" s="671"/>
      <c r="M81" s="671"/>
      <c r="N81" s="673"/>
    </row>
    <row r="82" spans="1:14" s="293" customFormat="1">
      <c r="A82" s="671"/>
      <c r="B82" s="671"/>
      <c r="C82" s="672"/>
      <c r="D82" s="671"/>
      <c r="E82" s="671"/>
      <c r="F82" s="671"/>
      <c r="G82" s="671"/>
      <c r="H82" s="671"/>
      <c r="I82" s="671"/>
      <c r="J82" s="671"/>
      <c r="K82" s="671"/>
      <c r="L82" s="671"/>
      <c r="M82" s="671"/>
      <c r="N82" s="673"/>
    </row>
    <row r="83" spans="1:14" s="293" customFormat="1">
      <c r="A83" s="671"/>
      <c r="B83" s="671"/>
      <c r="C83" s="672"/>
      <c r="D83" s="671"/>
      <c r="E83" s="671"/>
      <c r="F83" s="671"/>
      <c r="G83" s="671"/>
      <c r="H83" s="671"/>
      <c r="I83" s="671"/>
      <c r="J83" s="671"/>
      <c r="K83" s="671"/>
      <c r="L83" s="671"/>
      <c r="M83" s="671"/>
      <c r="N83" s="673"/>
    </row>
    <row r="84" spans="1:14" s="293" customFormat="1">
      <c r="A84" s="671"/>
      <c r="B84" s="671"/>
      <c r="C84" s="672"/>
      <c r="D84" s="671"/>
      <c r="E84" s="671"/>
      <c r="F84" s="671"/>
      <c r="G84" s="671"/>
      <c r="H84" s="671"/>
      <c r="I84" s="671"/>
      <c r="J84" s="671"/>
      <c r="K84" s="671"/>
      <c r="L84" s="671"/>
      <c r="M84" s="671"/>
      <c r="N84" s="673"/>
    </row>
    <row r="85" spans="1:14" s="293" customFormat="1">
      <c r="A85" s="671"/>
      <c r="B85" s="671"/>
      <c r="C85" s="672"/>
      <c r="D85" s="671"/>
      <c r="E85" s="671"/>
      <c r="F85" s="671"/>
      <c r="G85" s="671"/>
      <c r="H85" s="671"/>
      <c r="I85" s="671"/>
      <c r="J85" s="671"/>
      <c r="K85" s="671"/>
      <c r="L85" s="671"/>
      <c r="M85" s="671"/>
      <c r="N85" s="673"/>
    </row>
    <row r="86" spans="1:14" s="293" customFormat="1">
      <c r="A86" s="671"/>
      <c r="B86" s="671"/>
      <c r="C86" s="672"/>
      <c r="D86" s="671"/>
      <c r="E86" s="671"/>
      <c r="F86" s="671"/>
      <c r="G86" s="671"/>
      <c r="H86" s="671"/>
      <c r="I86" s="671"/>
      <c r="J86" s="671"/>
      <c r="K86" s="671"/>
      <c r="L86" s="671"/>
      <c r="M86" s="671"/>
      <c r="N86" s="673"/>
    </row>
    <row r="87" spans="1:14" s="293" customFormat="1">
      <c r="A87" s="671"/>
      <c r="B87" s="671"/>
      <c r="C87" s="672"/>
      <c r="D87" s="671"/>
      <c r="E87" s="671"/>
      <c r="F87" s="671"/>
      <c r="G87" s="671"/>
      <c r="H87" s="671"/>
      <c r="I87" s="671"/>
      <c r="J87" s="671"/>
      <c r="K87" s="671"/>
      <c r="L87" s="671"/>
      <c r="M87" s="671"/>
      <c r="N87" s="673"/>
    </row>
    <row r="88" spans="1:14" s="293" customFormat="1">
      <c r="A88" s="671"/>
      <c r="B88" s="671"/>
      <c r="C88" s="672"/>
      <c r="D88" s="671"/>
      <c r="E88" s="671"/>
      <c r="F88" s="671"/>
      <c r="G88" s="671"/>
      <c r="H88" s="671"/>
      <c r="I88" s="671"/>
      <c r="J88" s="671"/>
      <c r="K88" s="671"/>
      <c r="L88" s="671"/>
      <c r="M88" s="671"/>
      <c r="N88" s="673"/>
    </row>
    <row r="89" spans="1:14" s="293" customFormat="1">
      <c r="A89" s="671"/>
      <c r="B89" s="671"/>
      <c r="C89" s="672"/>
      <c r="D89" s="671"/>
      <c r="E89" s="671"/>
      <c r="F89" s="671"/>
      <c r="G89" s="671"/>
      <c r="H89" s="671"/>
      <c r="I89" s="671"/>
      <c r="J89" s="671"/>
      <c r="K89" s="671"/>
      <c r="L89" s="671"/>
      <c r="M89" s="671"/>
      <c r="N89" s="673"/>
    </row>
    <row r="90" spans="1:14" s="293" customFormat="1">
      <c r="A90" s="671"/>
      <c r="B90" s="671"/>
      <c r="C90" s="672"/>
      <c r="D90" s="671"/>
      <c r="E90" s="671"/>
      <c r="F90" s="671"/>
      <c r="G90" s="671"/>
      <c r="H90" s="671"/>
      <c r="I90" s="671"/>
      <c r="J90" s="671"/>
      <c r="K90" s="671"/>
      <c r="L90" s="671"/>
      <c r="M90" s="671"/>
      <c r="N90" s="673"/>
    </row>
    <row r="91" spans="1:14" s="293" customFormat="1">
      <c r="A91" s="671"/>
      <c r="B91" s="671"/>
      <c r="C91" s="672"/>
      <c r="D91" s="671"/>
      <c r="E91" s="671"/>
      <c r="F91" s="671"/>
      <c r="G91" s="671"/>
      <c r="H91" s="671"/>
      <c r="I91" s="671"/>
      <c r="J91" s="671"/>
      <c r="K91" s="671"/>
      <c r="L91" s="671"/>
      <c r="M91" s="671"/>
      <c r="N91" s="673"/>
    </row>
    <row r="92" spans="1:14" s="293" customFormat="1">
      <c r="A92" s="671"/>
      <c r="B92" s="671"/>
      <c r="C92" s="672"/>
      <c r="D92" s="671"/>
      <c r="E92" s="671"/>
      <c r="F92" s="671"/>
      <c r="G92" s="671"/>
      <c r="H92" s="671"/>
      <c r="I92" s="671"/>
      <c r="J92" s="671"/>
      <c r="K92" s="671"/>
      <c r="L92" s="671"/>
      <c r="M92" s="671"/>
      <c r="N92" s="673"/>
    </row>
    <row r="93" spans="1:14" s="293" customFormat="1">
      <c r="A93" s="671"/>
      <c r="B93" s="671"/>
      <c r="C93" s="672"/>
      <c r="D93" s="671"/>
      <c r="E93" s="671"/>
      <c r="F93" s="671"/>
      <c r="G93" s="671"/>
      <c r="H93" s="671"/>
      <c r="I93" s="671"/>
      <c r="J93" s="671"/>
      <c r="K93" s="671"/>
      <c r="L93" s="671"/>
      <c r="M93" s="671"/>
      <c r="N93" s="673"/>
    </row>
  </sheetData>
  <mergeCells count="17">
    <mergeCell ref="A72:F72"/>
    <mergeCell ref="A73:F73"/>
    <mergeCell ref="A63:E63"/>
    <mergeCell ref="A64:F64"/>
    <mergeCell ref="A68:F68"/>
    <mergeCell ref="A69:F69"/>
    <mergeCell ref="A70:F70"/>
    <mergeCell ref="A54:F54"/>
    <mergeCell ref="A57:F57"/>
    <mergeCell ref="A59:F59"/>
    <mergeCell ref="A60:F60"/>
    <mergeCell ref="A61:F61"/>
    <mergeCell ref="A1:N1"/>
    <mergeCell ref="A45:F45"/>
    <mergeCell ref="A46:F46"/>
    <mergeCell ref="A47:B47"/>
    <mergeCell ref="A53:F53"/>
  </mergeCells>
  <printOptions horizontalCentered="1"/>
  <pageMargins left="0.2" right="0.2" top="0.75" bottom="0.75" header="0.3" footer="0.3"/>
  <pageSetup scale="72" orientation="landscape" r:id="rId1"/>
  <headerFooter>
    <oddHeader xml:space="preserve">&amp;CDRAFT NOT FOR DISTRIBUTION, INTERNAL USE ONLY
</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2" tint="-0.249977111117893"/>
    <pageSetUpPr fitToPage="1"/>
  </sheetPr>
  <dimension ref="A1:N94"/>
  <sheetViews>
    <sheetView workbookViewId="0">
      <selection sqref="A1:N1"/>
    </sheetView>
  </sheetViews>
  <sheetFormatPr defaultColWidth="9.1796875" defaultRowHeight="14.5"/>
  <cols>
    <col min="1" max="1" width="39.54296875" style="370" customWidth="1"/>
    <col min="2" max="2" width="6.26953125" style="370" bestFit="1" customWidth="1"/>
    <col min="3" max="3" width="7.7265625" style="403" customWidth="1"/>
    <col min="4" max="4" width="11.81640625" style="370" bestFit="1" customWidth="1"/>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ustomWidth="1"/>
    <col min="14" max="14" width="29.81640625" style="370" customWidth="1"/>
    <col min="15" max="16384" width="9.1796875" style="370"/>
  </cols>
  <sheetData>
    <row r="1" spans="1:14" ht="15.5">
      <c r="A1" s="854" t="s">
        <v>165</v>
      </c>
      <c r="B1" s="854"/>
      <c r="C1" s="854"/>
      <c r="D1" s="854"/>
      <c r="E1" s="854"/>
      <c r="F1" s="854"/>
      <c r="G1" s="854"/>
      <c r="H1" s="854"/>
      <c r="I1" s="854"/>
      <c r="J1" s="854"/>
      <c r="K1" s="854"/>
      <c r="L1" s="854"/>
      <c r="M1" s="854"/>
      <c r="N1" s="854"/>
    </row>
    <row r="2" spans="1:14">
      <c r="A2" s="702" t="s">
        <v>849</v>
      </c>
      <c r="C2" s="639"/>
    </row>
    <row r="3" spans="1:14">
      <c r="A3" s="506" t="s">
        <v>823</v>
      </c>
      <c r="C3" s="639"/>
      <c r="F3" s="451" t="s">
        <v>210</v>
      </c>
    </row>
    <row r="4" spans="1:14">
      <c r="A4" s="506" t="s">
        <v>1304</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v>0</v>
      </c>
      <c r="G7" s="304">
        <v>0</v>
      </c>
      <c r="H7" s="304">
        <v>0</v>
      </c>
      <c r="I7" s="304">
        <v>0</v>
      </c>
      <c r="J7" s="304">
        <v>0</v>
      </c>
      <c r="K7" s="304">
        <v>0</v>
      </c>
      <c r="L7" s="304">
        <v>0</v>
      </c>
      <c r="M7" s="305">
        <v>0</v>
      </c>
      <c r="N7" s="31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48"/>
    </row>
    <row r="17" spans="1:14">
      <c r="A17" s="67" t="s">
        <v>220</v>
      </c>
      <c r="B17" s="68"/>
      <c r="C17" s="69"/>
      <c r="D17" s="68"/>
      <c r="E17" s="68"/>
      <c r="F17" s="70"/>
      <c r="G17" s="70"/>
      <c r="H17" s="70"/>
      <c r="I17" s="70"/>
      <c r="J17" s="70"/>
      <c r="K17" s="70"/>
      <c r="L17" s="70"/>
      <c r="M17" s="70"/>
      <c r="N17" s="70"/>
    </row>
    <row r="18" spans="1:14">
      <c r="A18" s="259" t="s">
        <v>278</v>
      </c>
      <c r="B18" s="259"/>
      <c r="C18" s="44">
        <v>253</v>
      </c>
      <c r="D18" s="45"/>
      <c r="E18" s="258">
        <v>0</v>
      </c>
      <c r="F18" s="350">
        <f>SUM(G18:M18)</f>
        <v>0</v>
      </c>
      <c r="G18" s="304">
        <v>0</v>
      </c>
      <c r="H18" s="304">
        <v>0</v>
      </c>
      <c r="I18" s="304">
        <v>0</v>
      </c>
      <c r="J18" s="304">
        <v>0</v>
      </c>
      <c r="K18" s="304">
        <v>0</v>
      </c>
      <c r="L18" s="304">
        <v>0</v>
      </c>
      <c r="M18" s="305">
        <v>0</v>
      </c>
      <c r="N18" s="320"/>
    </row>
    <row r="19" spans="1:14">
      <c r="A19" s="259" t="s">
        <v>278</v>
      </c>
      <c r="B19" s="259"/>
      <c r="C19" s="44">
        <v>253</v>
      </c>
      <c r="D19" s="45"/>
      <c r="E19" s="258">
        <v>0</v>
      </c>
      <c r="F19" s="350">
        <f>SUM(G19:M19)</f>
        <v>0</v>
      </c>
      <c r="G19" s="304">
        <v>0</v>
      </c>
      <c r="H19" s="304">
        <v>0</v>
      </c>
      <c r="I19" s="304">
        <v>0</v>
      </c>
      <c r="J19" s="304">
        <v>0</v>
      </c>
      <c r="K19" s="304">
        <v>0</v>
      </c>
      <c r="L19" s="304">
        <v>0</v>
      </c>
      <c r="M19" s="305">
        <v>0</v>
      </c>
      <c r="N19" s="319"/>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351"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SUM(D18:D21)</f>
        <v>0</v>
      </c>
      <c r="E22" s="43">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48"/>
    </row>
    <row r="23" spans="1:14" s="351"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v>0</v>
      </c>
      <c r="F24" s="303">
        <f t="shared" ref="F24:F36" si="3">SUM(G24:M24)</f>
        <v>0</v>
      </c>
      <c r="G24" s="304">
        <v>0</v>
      </c>
      <c r="H24" s="304">
        <v>0</v>
      </c>
      <c r="I24" s="304">
        <v>0</v>
      </c>
      <c r="J24" s="304">
        <v>0</v>
      </c>
      <c r="K24" s="304">
        <v>0</v>
      </c>
      <c r="L24" s="304">
        <v>0</v>
      </c>
      <c r="M24" s="305">
        <v>0</v>
      </c>
      <c r="N24" s="318"/>
    </row>
    <row r="25" spans="1:14">
      <c r="A25" s="259" t="s">
        <v>229</v>
      </c>
      <c r="B25" s="36"/>
      <c r="C25" s="44" t="s">
        <v>230</v>
      </c>
      <c r="D25" s="45"/>
      <c r="E25" s="258">
        <v>0</v>
      </c>
      <c r="F25" s="303">
        <f t="shared" si="3"/>
        <v>0</v>
      </c>
      <c r="G25" s="304">
        <v>0</v>
      </c>
      <c r="H25" s="304">
        <v>0</v>
      </c>
      <c r="I25" s="304">
        <v>0</v>
      </c>
      <c r="J25" s="304">
        <v>0</v>
      </c>
      <c r="K25" s="304">
        <v>0</v>
      </c>
      <c r="L25" s="304">
        <v>0</v>
      </c>
      <c r="M25" s="305">
        <v>0</v>
      </c>
      <c r="N25" s="348"/>
    </row>
    <row r="26" spans="1:14">
      <c r="A26" s="259" t="s">
        <v>231</v>
      </c>
      <c r="B26" s="36"/>
      <c r="C26" s="44" t="s">
        <v>232</v>
      </c>
      <c r="D26" s="45"/>
      <c r="E26" s="258">
        <v>0</v>
      </c>
      <c r="F26" s="303">
        <f t="shared" si="3"/>
        <v>0</v>
      </c>
      <c r="G26" s="304">
        <v>0</v>
      </c>
      <c r="H26" s="304">
        <v>0</v>
      </c>
      <c r="I26" s="304">
        <v>0</v>
      </c>
      <c r="J26" s="304">
        <v>0</v>
      </c>
      <c r="K26" s="304">
        <v>0</v>
      </c>
      <c r="L26" s="304">
        <v>0</v>
      </c>
      <c r="M26" s="305">
        <v>0</v>
      </c>
      <c r="N26" s="348"/>
    </row>
    <row r="27" spans="1:14">
      <c r="A27" s="259" t="s">
        <v>233</v>
      </c>
      <c r="B27" s="36"/>
      <c r="C27" s="44" t="s">
        <v>234</v>
      </c>
      <c r="D27" s="45"/>
      <c r="E27" s="258">
        <v>0</v>
      </c>
      <c r="F27" s="303">
        <f t="shared" si="3"/>
        <v>0</v>
      </c>
      <c r="G27" s="304">
        <v>0</v>
      </c>
      <c r="H27" s="304">
        <v>0</v>
      </c>
      <c r="I27" s="304">
        <v>0</v>
      </c>
      <c r="J27" s="304">
        <v>0</v>
      </c>
      <c r="K27" s="304">
        <v>0</v>
      </c>
      <c r="L27" s="304">
        <v>0</v>
      </c>
      <c r="M27" s="305">
        <v>0</v>
      </c>
      <c r="N27" s="348"/>
    </row>
    <row r="28" spans="1:14" ht="29">
      <c r="A28" s="259" t="s">
        <v>235</v>
      </c>
      <c r="B28" s="36"/>
      <c r="C28" s="44">
        <v>251</v>
      </c>
      <c r="D28" s="45"/>
      <c r="E28" s="258">
        <v>35</v>
      </c>
      <c r="F28" s="303">
        <f t="shared" si="3"/>
        <v>35</v>
      </c>
      <c r="G28" s="304">
        <v>0</v>
      </c>
      <c r="H28" s="304">
        <v>35</v>
      </c>
      <c r="I28" s="304">
        <v>0</v>
      </c>
      <c r="J28" s="304">
        <v>0</v>
      </c>
      <c r="K28" s="304">
        <v>0</v>
      </c>
      <c r="L28" s="304">
        <v>0</v>
      </c>
      <c r="M28" s="305">
        <v>0</v>
      </c>
      <c r="N28" s="538" t="s">
        <v>779</v>
      </c>
    </row>
    <row r="29" spans="1:14">
      <c r="A29" s="259" t="s">
        <v>316</v>
      </c>
      <c r="B29" s="36"/>
      <c r="C29" s="44">
        <v>251</v>
      </c>
      <c r="D29" s="45"/>
      <c r="E29" s="258">
        <v>0</v>
      </c>
      <c r="F29" s="303">
        <f t="shared" si="3"/>
        <v>0</v>
      </c>
      <c r="G29" s="304"/>
      <c r="H29" s="304">
        <v>0</v>
      </c>
      <c r="I29" s="304"/>
      <c r="J29" s="304">
        <v>0</v>
      </c>
      <c r="K29" s="304">
        <v>0</v>
      </c>
      <c r="L29" s="304">
        <v>0</v>
      </c>
      <c r="M29" s="305">
        <v>0</v>
      </c>
      <c r="N29" s="253"/>
    </row>
    <row r="30" spans="1:14">
      <c r="A30" s="259" t="s">
        <v>242</v>
      </c>
      <c r="B30" s="36"/>
      <c r="C30" s="44">
        <v>252</v>
      </c>
      <c r="D30" s="45"/>
      <c r="E30" s="258">
        <v>0</v>
      </c>
      <c r="F30" s="303">
        <f t="shared" si="3"/>
        <v>0</v>
      </c>
      <c r="G30" s="304">
        <v>0</v>
      </c>
      <c r="H30" s="304">
        <v>0</v>
      </c>
      <c r="I30" s="304">
        <v>0</v>
      </c>
      <c r="J30" s="304">
        <v>0</v>
      </c>
      <c r="K30" s="304">
        <v>0</v>
      </c>
      <c r="L30" s="304">
        <v>0</v>
      </c>
      <c r="M30" s="305">
        <v>0</v>
      </c>
      <c r="N30" s="348"/>
    </row>
    <row r="31" spans="1:14">
      <c r="A31" s="259" t="s">
        <v>243</v>
      </c>
      <c r="B31" s="36"/>
      <c r="C31" s="44">
        <v>252</v>
      </c>
      <c r="D31" s="45"/>
      <c r="E31" s="258">
        <v>0</v>
      </c>
      <c r="F31" s="303">
        <f t="shared" si="3"/>
        <v>0</v>
      </c>
      <c r="G31" s="304">
        <v>0</v>
      </c>
      <c r="H31" s="304">
        <v>0</v>
      </c>
      <c r="I31" s="304">
        <v>0</v>
      </c>
      <c r="J31" s="304">
        <v>0</v>
      </c>
      <c r="K31" s="304">
        <v>0</v>
      </c>
      <c r="L31" s="304">
        <v>0</v>
      </c>
      <c r="M31" s="305">
        <v>0</v>
      </c>
      <c r="N31" s="348"/>
    </row>
    <row r="32" spans="1:14">
      <c r="A32" s="259" t="s">
        <v>244</v>
      </c>
      <c r="B32" s="36"/>
      <c r="C32" s="44">
        <v>253</v>
      </c>
      <c r="D32" s="259"/>
      <c r="E32" s="258">
        <v>0</v>
      </c>
      <c r="F32" s="303">
        <f t="shared" si="3"/>
        <v>0</v>
      </c>
      <c r="G32" s="304">
        <v>0</v>
      </c>
      <c r="H32" s="304">
        <v>0</v>
      </c>
      <c r="I32" s="304">
        <v>0</v>
      </c>
      <c r="J32" s="304">
        <v>0</v>
      </c>
      <c r="K32" s="304">
        <v>0</v>
      </c>
      <c r="L32" s="304">
        <v>0</v>
      </c>
      <c r="M32" s="305">
        <v>0</v>
      </c>
      <c r="N32" s="348"/>
    </row>
    <row r="33" spans="1:14">
      <c r="A33" s="259" t="s">
        <v>245</v>
      </c>
      <c r="B33" s="36"/>
      <c r="C33" s="44">
        <v>255</v>
      </c>
      <c r="D33" s="259"/>
      <c r="E33" s="258">
        <v>0</v>
      </c>
      <c r="F33" s="303">
        <f t="shared" si="3"/>
        <v>0</v>
      </c>
      <c r="G33" s="304">
        <v>0</v>
      </c>
      <c r="H33" s="304">
        <v>0</v>
      </c>
      <c r="I33" s="304">
        <v>0</v>
      </c>
      <c r="J33" s="304">
        <v>0</v>
      </c>
      <c r="K33" s="304">
        <v>0</v>
      </c>
      <c r="L33" s="304">
        <v>0</v>
      </c>
      <c r="M33" s="305">
        <v>0</v>
      </c>
      <c r="N33" s="348"/>
    </row>
    <row r="34" spans="1:14">
      <c r="A34" s="259" t="s">
        <v>246</v>
      </c>
      <c r="B34" s="36"/>
      <c r="C34" s="44">
        <v>256</v>
      </c>
      <c r="D34" s="259"/>
      <c r="E34" s="258">
        <v>0</v>
      </c>
      <c r="F34" s="303">
        <f t="shared" si="3"/>
        <v>0</v>
      </c>
      <c r="G34" s="304">
        <v>0</v>
      </c>
      <c r="H34" s="304">
        <v>0</v>
      </c>
      <c r="I34" s="304">
        <v>0</v>
      </c>
      <c r="J34" s="304">
        <v>0</v>
      </c>
      <c r="K34" s="304">
        <v>0</v>
      </c>
      <c r="L34" s="304">
        <v>0</v>
      </c>
      <c r="M34" s="305">
        <v>0</v>
      </c>
      <c r="N34" s="348"/>
    </row>
    <row r="35" spans="1:14">
      <c r="A35" s="259" t="s">
        <v>247</v>
      </c>
      <c r="B35" s="36"/>
      <c r="C35" s="44">
        <v>257</v>
      </c>
      <c r="D35" s="259"/>
      <c r="E35" s="258">
        <v>12</v>
      </c>
      <c r="F35" s="303">
        <f t="shared" si="3"/>
        <v>12</v>
      </c>
      <c r="G35" s="304">
        <v>0</v>
      </c>
      <c r="H35" s="304">
        <v>12</v>
      </c>
      <c r="I35" s="304">
        <v>0</v>
      </c>
      <c r="J35" s="304">
        <v>0</v>
      </c>
      <c r="K35" s="304">
        <v>0</v>
      </c>
      <c r="L35" s="304">
        <v>0</v>
      </c>
      <c r="M35" s="305">
        <v>0</v>
      </c>
      <c r="N35" s="538" t="s">
        <v>780</v>
      </c>
    </row>
    <row r="36" spans="1:14">
      <c r="A36" s="259" t="s">
        <v>248</v>
      </c>
      <c r="B36" s="36"/>
      <c r="C36" s="44" t="s">
        <v>249</v>
      </c>
      <c r="D36" s="259"/>
      <c r="E36" s="258">
        <v>0</v>
      </c>
      <c r="F36" s="303">
        <f t="shared" si="3"/>
        <v>0</v>
      </c>
      <c r="G36" s="304">
        <v>0</v>
      </c>
      <c r="H36" s="304">
        <v>0</v>
      </c>
      <c r="I36" s="304">
        <v>0</v>
      </c>
      <c r="J36" s="304">
        <v>0</v>
      </c>
      <c r="K36" s="304">
        <v>0</v>
      </c>
      <c r="L36" s="304">
        <v>0</v>
      </c>
      <c r="M36" s="305">
        <v>0</v>
      </c>
      <c r="N36" s="348"/>
    </row>
    <row r="37" spans="1:14">
      <c r="A37" s="260" t="s">
        <v>250</v>
      </c>
      <c r="B37" s="36"/>
      <c r="C37" s="261" t="s">
        <v>251</v>
      </c>
      <c r="D37" s="241"/>
      <c r="E37" s="258">
        <v>0</v>
      </c>
      <c r="F37" s="303">
        <f>SUM(G37:M37)</f>
        <v>0</v>
      </c>
      <c r="G37" s="304">
        <v>0</v>
      </c>
      <c r="H37" s="304">
        <v>0</v>
      </c>
      <c r="I37" s="304">
        <v>0</v>
      </c>
      <c r="J37" s="304">
        <v>0</v>
      </c>
      <c r="K37" s="304">
        <v>0</v>
      </c>
      <c r="L37" s="304">
        <v>0</v>
      </c>
      <c r="M37" s="305">
        <v>0</v>
      </c>
      <c r="N37" s="348"/>
    </row>
    <row r="38" spans="1:14">
      <c r="A38" s="260" t="s">
        <v>252</v>
      </c>
      <c r="B38" s="378"/>
      <c r="C38" s="261" t="s">
        <v>253</v>
      </c>
      <c r="D38" s="260"/>
      <c r="E38" s="311">
        <v>0</v>
      </c>
      <c r="F38" s="303">
        <f>SUM(G38:M38)</f>
        <v>0</v>
      </c>
      <c r="G38" s="163">
        <v>0</v>
      </c>
      <c r="H38" s="163">
        <v>0</v>
      </c>
      <c r="I38" s="163">
        <v>0</v>
      </c>
      <c r="J38" s="163">
        <v>0</v>
      </c>
      <c r="K38" s="163">
        <v>0</v>
      </c>
      <c r="L38" s="163">
        <v>0</v>
      </c>
      <c r="M38" s="164">
        <v>0</v>
      </c>
      <c r="N38" s="318"/>
    </row>
    <row r="39" spans="1:14">
      <c r="A39" s="40" t="s">
        <v>254</v>
      </c>
      <c r="B39" s="260"/>
      <c r="C39" s="261"/>
      <c r="D39" s="242"/>
      <c r="E39" s="237">
        <f t="shared" ref="E39:M39" si="4">SUM(E24:E38)</f>
        <v>47</v>
      </c>
      <c r="F39" s="238">
        <f t="shared" si="4"/>
        <v>47</v>
      </c>
      <c r="G39" s="238">
        <f t="shared" si="4"/>
        <v>0</v>
      </c>
      <c r="H39" s="238">
        <f t="shared" si="4"/>
        <v>47</v>
      </c>
      <c r="I39" s="238">
        <f t="shared" si="4"/>
        <v>0</v>
      </c>
      <c r="J39" s="238">
        <f t="shared" si="4"/>
        <v>0</v>
      </c>
      <c r="K39" s="238">
        <f t="shared" si="4"/>
        <v>0</v>
      </c>
      <c r="L39" s="238">
        <f t="shared" si="4"/>
        <v>0</v>
      </c>
      <c r="M39" s="238">
        <f t="shared" si="4"/>
        <v>0</v>
      </c>
      <c r="N39" s="348"/>
    </row>
    <row r="40" spans="1:14">
      <c r="A40" s="40" t="s">
        <v>255</v>
      </c>
      <c r="B40" s="51"/>
      <c r="C40" s="147"/>
      <c r="D40" s="242"/>
      <c r="E40" s="239"/>
      <c r="F40" s="240">
        <f>SUM(G40:L40)</f>
        <v>0</v>
      </c>
      <c r="G40" s="240"/>
      <c r="H40" s="240">
        <v>0</v>
      </c>
      <c r="I40" s="240"/>
      <c r="J40" s="240"/>
      <c r="K40" s="240"/>
      <c r="L40" s="240"/>
      <c r="M40" s="240"/>
      <c r="N40" s="318"/>
    </row>
    <row r="41" spans="1:14">
      <c r="A41" s="40" t="s">
        <v>256</v>
      </c>
      <c r="B41" s="46"/>
      <c r="C41" s="47"/>
      <c r="D41" s="48">
        <f>D39+D22+D16</f>
        <v>0</v>
      </c>
      <c r="E41" s="237">
        <f>E39+E22+E16-E40</f>
        <v>47</v>
      </c>
      <c r="F41" s="17">
        <f t="shared" ref="F41:M41" si="5">F39+F22+F16-F40</f>
        <v>47</v>
      </c>
      <c r="G41" s="17">
        <f t="shared" si="5"/>
        <v>0</v>
      </c>
      <c r="H41" s="17">
        <f t="shared" si="5"/>
        <v>47</v>
      </c>
      <c r="I41" s="17">
        <f t="shared" si="5"/>
        <v>0</v>
      </c>
      <c r="J41" s="17">
        <f t="shared" si="5"/>
        <v>0</v>
      </c>
      <c r="K41" s="17">
        <f t="shared" si="5"/>
        <v>0</v>
      </c>
      <c r="L41" s="17">
        <f t="shared" si="5"/>
        <v>0</v>
      </c>
      <c r="M41" s="17">
        <f t="shared" si="5"/>
        <v>0</v>
      </c>
      <c r="N41" s="346"/>
    </row>
    <row r="44" spans="1:14" s="293" customFormat="1" ht="15" thickBot="1">
      <c r="A44" s="671"/>
      <c r="B44" s="671"/>
      <c r="C44" s="672"/>
      <c r="D44" s="671"/>
      <c r="E44" s="671"/>
      <c r="F44" s="671"/>
      <c r="G44" s="671"/>
      <c r="H44" s="671"/>
      <c r="I44" s="671"/>
      <c r="J44" s="671"/>
      <c r="K44" s="671"/>
      <c r="L44" s="671"/>
      <c r="M44" s="671"/>
      <c r="N44" s="673"/>
    </row>
    <row r="45" spans="1:14" s="293" customFormat="1" ht="15.5">
      <c r="A45" s="1062" t="s">
        <v>257</v>
      </c>
      <c r="B45" s="1063"/>
      <c r="C45" s="1063"/>
      <c r="D45" s="1063"/>
      <c r="E45" s="1063"/>
      <c r="F45" s="1063"/>
      <c r="G45" s="674"/>
      <c r="H45" s="671"/>
      <c r="I45" s="671"/>
      <c r="J45" s="671"/>
      <c r="K45" s="671"/>
      <c r="L45" s="671"/>
      <c r="M45" s="671"/>
      <c r="N45" s="673"/>
    </row>
    <row r="46" spans="1:14" s="293" customFormat="1" ht="15.5">
      <c r="A46" s="1064"/>
      <c r="B46" s="1065"/>
      <c r="C46" s="1065"/>
      <c r="D46" s="1065"/>
      <c r="E46" s="1065"/>
      <c r="F46" s="1065"/>
      <c r="G46" s="675"/>
      <c r="H46" s="671"/>
      <c r="I46" s="671"/>
      <c r="J46" s="671"/>
      <c r="K46" s="671"/>
      <c r="L46" s="671"/>
      <c r="M46" s="671"/>
      <c r="N46" s="673"/>
    </row>
    <row r="47" spans="1:14" s="293" customFormat="1">
      <c r="A47" s="1066" t="s">
        <v>258</v>
      </c>
      <c r="B47" s="1067"/>
      <c r="C47" s="676"/>
      <c r="D47" s="676"/>
      <c r="E47" s="676"/>
      <c r="F47" s="676"/>
      <c r="G47" s="675"/>
      <c r="H47" s="671"/>
      <c r="I47" s="671"/>
      <c r="J47" s="671"/>
      <c r="K47" s="671"/>
      <c r="L47" s="671"/>
      <c r="M47" s="671"/>
      <c r="N47" s="673"/>
    </row>
    <row r="48" spans="1:14" s="293" customFormat="1">
      <c r="A48" s="677" t="s">
        <v>1028</v>
      </c>
      <c r="B48" s="678">
        <f>E41</f>
        <v>47</v>
      </c>
      <c r="C48" s="679"/>
      <c r="D48" s="680"/>
      <c r="E48" s="680"/>
      <c r="F48" s="680"/>
      <c r="G48" s="675"/>
      <c r="H48" s="671"/>
      <c r="I48" s="671"/>
      <c r="J48" s="671"/>
      <c r="K48" s="671"/>
      <c r="L48" s="671"/>
      <c r="M48" s="671"/>
      <c r="N48" s="673"/>
    </row>
    <row r="49" spans="1:14" s="293" customFormat="1">
      <c r="A49" s="681" t="s">
        <v>1029</v>
      </c>
      <c r="B49" s="682">
        <f>F41</f>
        <v>47</v>
      </c>
      <c r="C49" s="679"/>
      <c r="D49" s="680"/>
      <c r="E49" s="680"/>
      <c r="F49" s="680"/>
      <c r="G49" s="675"/>
      <c r="H49" s="671"/>
      <c r="I49" s="671"/>
      <c r="J49" s="671"/>
      <c r="K49" s="671"/>
      <c r="L49" s="671"/>
      <c r="M49" s="671"/>
      <c r="N49" s="673"/>
    </row>
    <row r="50" spans="1:14" s="293" customFormat="1">
      <c r="A50" s="683" t="s">
        <v>259</v>
      </c>
      <c r="B50" s="684">
        <f>B49-B48</f>
        <v>0</v>
      </c>
      <c r="C50" s="679"/>
      <c r="D50" s="680"/>
      <c r="E50" s="680"/>
      <c r="F50" s="680"/>
      <c r="G50" s="675"/>
      <c r="H50" s="671"/>
      <c r="I50" s="671"/>
      <c r="J50" s="671"/>
      <c r="K50" s="671"/>
      <c r="L50" s="671"/>
      <c r="M50" s="671"/>
      <c r="N50" s="673"/>
    </row>
    <row r="51" spans="1:14" s="293" customFormat="1">
      <c r="A51" s="683" t="s">
        <v>260</v>
      </c>
      <c r="B51" s="685">
        <f>B50/B48</f>
        <v>0</v>
      </c>
      <c r="C51" s="679"/>
      <c r="D51" s="680"/>
      <c r="E51" s="680"/>
      <c r="F51" s="680"/>
      <c r="G51" s="675"/>
      <c r="H51" s="671"/>
      <c r="I51" s="671"/>
      <c r="J51" s="671"/>
      <c r="K51" s="671"/>
      <c r="L51" s="671"/>
      <c r="M51" s="671"/>
      <c r="N51" s="673"/>
    </row>
    <row r="52" spans="1:14" s="293" customFormat="1">
      <c r="A52" s="686"/>
      <c r="B52" s="680"/>
      <c r="C52" s="687"/>
      <c r="D52" s="680"/>
      <c r="E52" s="680"/>
      <c r="F52" s="680"/>
      <c r="G52" s="675"/>
      <c r="H52" s="671"/>
      <c r="I52" s="671"/>
      <c r="J52" s="671"/>
      <c r="K52" s="671"/>
      <c r="L52" s="671"/>
      <c r="M52" s="671"/>
      <c r="N52" s="673"/>
    </row>
    <row r="53" spans="1:14" s="293" customFormat="1">
      <c r="A53" s="1000" t="s">
        <v>261</v>
      </c>
      <c r="B53" s="1001"/>
      <c r="C53" s="1001"/>
      <c r="D53" s="1001"/>
      <c r="E53" s="1001"/>
      <c r="F53" s="1001"/>
      <c r="G53" s="675"/>
      <c r="H53" s="671"/>
      <c r="I53" s="671"/>
      <c r="J53" s="671"/>
      <c r="K53" s="671"/>
      <c r="L53" s="671"/>
      <c r="M53" s="671"/>
      <c r="N53" s="673"/>
    </row>
    <row r="54" spans="1:14" s="293" customFormat="1" ht="55.5" customHeight="1">
      <c r="A54" s="1077" t="s">
        <v>712</v>
      </c>
      <c r="B54" s="1078"/>
      <c r="C54" s="1078"/>
      <c r="D54" s="1078"/>
      <c r="E54" s="1078"/>
      <c r="F54" s="1079"/>
      <c r="G54" s="675"/>
      <c r="H54" s="671"/>
      <c r="I54" s="671"/>
      <c r="J54" s="671"/>
      <c r="K54" s="671"/>
      <c r="L54" s="671"/>
      <c r="M54" s="671"/>
      <c r="N54" s="673"/>
    </row>
    <row r="55" spans="1:14" s="293" customFormat="1">
      <c r="A55" s="688"/>
      <c r="B55" s="689"/>
      <c r="C55" s="689"/>
      <c r="D55" s="689"/>
      <c r="E55" s="689"/>
      <c r="F55" s="689"/>
      <c r="G55" s="675"/>
      <c r="H55" s="671"/>
      <c r="I55" s="671"/>
      <c r="J55" s="671"/>
      <c r="K55" s="671"/>
      <c r="L55" s="671"/>
      <c r="M55" s="671"/>
      <c r="N55" s="673"/>
    </row>
    <row r="56" spans="1:14" s="293" customFormat="1">
      <c r="A56" s="690" t="s">
        <v>262</v>
      </c>
      <c r="B56" s="680"/>
      <c r="C56" s="725"/>
      <c r="D56" s="680"/>
      <c r="E56" s="680"/>
      <c r="F56" s="680"/>
      <c r="G56" s="675"/>
      <c r="H56" s="671"/>
      <c r="I56" s="671"/>
      <c r="J56" s="671"/>
      <c r="K56" s="671"/>
      <c r="L56" s="671"/>
      <c r="M56" s="671"/>
      <c r="N56" s="673"/>
    </row>
    <row r="57" spans="1:14" s="293" customFormat="1" ht="57.5" customHeight="1">
      <c r="A57" s="1077" t="s">
        <v>713</v>
      </c>
      <c r="B57" s="1078"/>
      <c r="C57" s="1078"/>
      <c r="D57" s="1078"/>
      <c r="E57" s="1078"/>
      <c r="F57" s="1079"/>
      <c r="G57" s="675"/>
      <c r="H57" s="671"/>
      <c r="I57" s="671"/>
      <c r="J57" s="671"/>
      <c r="K57" s="671"/>
      <c r="L57" s="671"/>
      <c r="M57" s="671"/>
      <c r="N57" s="673"/>
    </row>
    <row r="58" spans="1:14" s="293" customFormat="1">
      <c r="A58" s="686"/>
      <c r="B58" s="680"/>
      <c r="C58" s="725"/>
      <c r="D58" s="680"/>
      <c r="E58" s="680"/>
      <c r="F58" s="680"/>
      <c r="G58" s="675"/>
      <c r="H58" s="671"/>
      <c r="I58" s="671"/>
      <c r="J58" s="671"/>
      <c r="K58" s="671"/>
      <c r="L58" s="671"/>
      <c r="M58" s="671"/>
      <c r="N58" s="673"/>
    </row>
    <row r="59" spans="1:14" s="293" customFormat="1">
      <c r="A59" s="1000" t="s">
        <v>1020</v>
      </c>
      <c r="B59" s="1001"/>
      <c r="C59" s="1001"/>
      <c r="D59" s="1001"/>
      <c r="E59" s="1001"/>
      <c r="F59" s="1001"/>
      <c r="G59" s="675"/>
      <c r="H59" s="671"/>
      <c r="I59" s="671"/>
      <c r="J59" s="671"/>
      <c r="K59" s="671"/>
      <c r="L59" s="671"/>
      <c r="M59" s="671"/>
      <c r="N59" s="673"/>
    </row>
    <row r="60" spans="1:14" s="293" customFormat="1">
      <c r="A60" s="1005" t="s">
        <v>1021</v>
      </c>
      <c r="B60" s="1006"/>
      <c r="C60" s="1006"/>
      <c r="D60" s="1006"/>
      <c r="E60" s="1006"/>
      <c r="F60" s="1006"/>
      <c r="G60" s="675"/>
      <c r="H60" s="671"/>
      <c r="I60" s="671"/>
      <c r="J60" s="671"/>
      <c r="K60" s="671"/>
      <c r="L60" s="671"/>
      <c r="M60" s="671"/>
      <c r="N60" s="673"/>
    </row>
    <row r="61" spans="1:14" s="293" customFormat="1" ht="46" customHeight="1">
      <c r="A61" s="1077" t="s">
        <v>714</v>
      </c>
      <c r="B61" s="1078"/>
      <c r="C61" s="1078"/>
      <c r="D61" s="1078"/>
      <c r="E61" s="1078"/>
      <c r="F61" s="1079"/>
      <c r="G61" s="675"/>
      <c r="H61" s="671"/>
      <c r="I61" s="671"/>
      <c r="J61" s="671"/>
      <c r="K61" s="671"/>
      <c r="L61" s="671"/>
      <c r="M61" s="671"/>
      <c r="N61" s="673"/>
    </row>
    <row r="62" spans="1:14" s="293" customFormat="1">
      <c r="A62" s="690"/>
      <c r="B62" s="680"/>
      <c r="C62" s="725"/>
      <c r="D62" s="680"/>
      <c r="E62" s="680"/>
      <c r="F62" s="680"/>
      <c r="G62" s="675"/>
      <c r="H62" s="671"/>
      <c r="I62" s="671"/>
      <c r="J62" s="671"/>
      <c r="K62" s="671"/>
      <c r="L62" s="671"/>
      <c r="M62" s="671"/>
      <c r="N62" s="673"/>
    </row>
    <row r="63" spans="1:14" s="293" customFormat="1">
      <c r="A63" s="1000" t="s">
        <v>264</v>
      </c>
      <c r="B63" s="1001"/>
      <c r="C63" s="1001"/>
      <c r="D63" s="1001"/>
      <c r="E63" s="1001"/>
      <c r="F63" s="680"/>
      <c r="G63" s="675"/>
      <c r="H63" s="671"/>
      <c r="I63" s="671"/>
      <c r="J63" s="671"/>
      <c r="K63" s="671"/>
      <c r="L63" s="671"/>
      <c r="M63" s="671"/>
      <c r="N63" s="673"/>
    </row>
    <row r="64" spans="1:14" s="293" customFormat="1" ht="30.15" customHeight="1">
      <c r="A64" s="1007" t="s">
        <v>711</v>
      </c>
      <c r="B64" s="1008"/>
      <c r="C64" s="1008"/>
      <c r="D64" s="1008"/>
      <c r="E64" s="1008"/>
      <c r="F64" s="1009"/>
      <c r="G64" s="675"/>
      <c r="H64" s="671"/>
      <c r="I64" s="671"/>
      <c r="J64" s="671"/>
      <c r="K64" s="671"/>
      <c r="L64" s="671"/>
      <c r="M64" s="671"/>
      <c r="N64" s="673"/>
    </row>
    <row r="65" spans="1:14" s="293" customFormat="1">
      <c r="A65" s="686"/>
      <c r="B65" s="680"/>
      <c r="C65" s="725"/>
      <c r="D65" s="680"/>
      <c r="E65" s="680"/>
      <c r="F65" s="680"/>
      <c r="G65" s="675"/>
      <c r="H65" s="671"/>
      <c r="I65" s="671"/>
      <c r="J65" s="671"/>
      <c r="K65" s="671"/>
      <c r="L65" s="671"/>
      <c r="M65" s="671"/>
      <c r="N65" s="673"/>
    </row>
    <row r="66" spans="1:14" s="293" customFormat="1">
      <c r="A66" s="690" t="s">
        <v>265</v>
      </c>
      <c r="B66" s="680"/>
      <c r="C66" s="725"/>
      <c r="D66" s="680"/>
      <c r="E66" s="680"/>
      <c r="F66" s="680"/>
      <c r="G66" s="675"/>
      <c r="H66" s="671"/>
      <c r="I66" s="671"/>
      <c r="J66" s="671"/>
      <c r="K66" s="671"/>
      <c r="L66" s="671"/>
      <c r="M66" s="671"/>
      <c r="N66" s="673"/>
    </row>
    <row r="67" spans="1:14" s="293" customFormat="1">
      <c r="A67" s="691" t="s">
        <v>266</v>
      </c>
      <c r="B67" s="680"/>
      <c r="C67" s="725"/>
      <c r="D67" s="680"/>
      <c r="E67" s="680"/>
      <c r="F67" s="680"/>
      <c r="G67" s="675"/>
      <c r="H67" s="671"/>
      <c r="I67" s="671"/>
      <c r="J67" s="671"/>
      <c r="K67" s="671"/>
      <c r="L67" s="671"/>
      <c r="M67" s="671"/>
      <c r="N67" s="673"/>
    </row>
    <row r="68" spans="1:14" s="293" customFormat="1" ht="26.25" customHeight="1">
      <c r="A68" s="892" t="s">
        <v>1030</v>
      </c>
      <c r="B68" s="893"/>
      <c r="C68" s="893"/>
      <c r="D68" s="893"/>
      <c r="E68" s="893"/>
      <c r="F68" s="893"/>
      <c r="G68" s="675"/>
      <c r="H68" s="671"/>
      <c r="I68" s="671"/>
      <c r="J68" s="671"/>
      <c r="K68" s="671"/>
      <c r="L68" s="671"/>
      <c r="M68" s="671"/>
      <c r="N68" s="673"/>
    </row>
    <row r="69" spans="1:14" s="293" customFormat="1" ht="26.25" customHeight="1">
      <c r="A69" s="1077" t="s">
        <v>710</v>
      </c>
      <c r="B69" s="1078"/>
      <c r="C69" s="1078"/>
      <c r="D69" s="1078"/>
      <c r="E69" s="1078"/>
      <c r="F69" s="1079"/>
      <c r="G69" s="675"/>
      <c r="H69" s="671"/>
      <c r="I69" s="671"/>
      <c r="J69" s="671"/>
      <c r="K69" s="671"/>
      <c r="L69" s="671"/>
      <c r="M69" s="671"/>
      <c r="N69" s="673"/>
    </row>
    <row r="70" spans="1:14" s="293" customFormat="1">
      <c r="A70" s="1012"/>
      <c r="B70" s="1013"/>
      <c r="C70" s="1013"/>
      <c r="D70" s="1013"/>
      <c r="E70" s="1013"/>
      <c r="F70" s="1013"/>
      <c r="G70" s="675"/>
      <c r="H70" s="671"/>
      <c r="I70" s="671"/>
      <c r="J70" s="671"/>
      <c r="K70" s="671"/>
      <c r="L70" s="671"/>
      <c r="M70" s="671"/>
      <c r="N70" s="673"/>
    </row>
    <row r="71" spans="1:14" s="293" customFormat="1">
      <c r="A71" s="691" t="s">
        <v>268</v>
      </c>
      <c r="B71" s="680"/>
      <c r="C71" s="725"/>
      <c r="D71" s="680"/>
      <c r="E71" s="680"/>
      <c r="F71" s="680"/>
      <c r="G71" s="675"/>
      <c r="H71" s="671"/>
      <c r="I71" s="671"/>
      <c r="J71" s="671"/>
      <c r="K71" s="671"/>
      <c r="L71" s="671"/>
      <c r="M71" s="671"/>
      <c r="N71" s="673"/>
    </row>
    <row r="72" spans="1:14" s="293" customFormat="1" ht="42" customHeight="1">
      <c r="A72" s="896" t="s">
        <v>269</v>
      </c>
      <c r="B72" s="897"/>
      <c r="C72" s="897"/>
      <c r="D72" s="897"/>
      <c r="E72" s="897"/>
      <c r="F72" s="897"/>
      <c r="G72" s="675"/>
      <c r="H72" s="671"/>
      <c r="I72" s="671"/>
      <c r="J72" s="671"/>
      <c r="K72" s="671"/>
      <c r="L72" s="671"/>
      <c r="M72" s="671"/>
      <c r="N72" s="673"/>
    </row>
    <row r="73" spans="1:14" s="293" customFormat="1" ht="30.75" customHeight="1">
      <c r="A73" s="1007" t="s">
        <v>452</v>
      </c>
      <c r="B73" s="1008"/>
      <c r="C73" s="1008"/>
      <c r="D73" s="1008"/>
      <c r="E73" s="1008"/>
      <c r="F73" s="1009"/>
      <c r="G73" s="675"/>
      <c r="H73" s="671"/>
      <c r="I73" s="671"/>
      <c r="J73" s="671"/>
      <c r="K73" s="671"/>
      <c r="L73" s="671"/>
      <c r="M73" s="671"/>
      <c r="N73" s="673"/>
    </row>
    <row r="74" spans="1:14" s="293" customFormat="1" ht="15" thickBot="1">
      <c r="A74" s="692"/>
      <c r="B74" s="693"/>
      <c r="C74" s="694"/>
      <c r="D74" s="693"/>
      <c r="E74" s="693"/>
      <c r="F74" s="693"/>
      <c r="G74" s="695"/>
      <c r="H74" s="671"/>
      <c r="I74" s="671"/>
      <c r="J74" s="671"/>
      <c r="K74" s="671"/>
      <c r="L74" s="671"/>
      <c r="M74" s="671"/>
      <c r="N74" s="673"/>
    </row>
    <row r="75" spans="1:14" s="293" customFormat="1">
      <c r="A75" s="671"/>
      <c r="B75" s="671"/>
      <c r="C75" s="672"/>
      <c r="D75" s="671"/>
      <c r="E75" s="671"/>
      <c r="F75" s="671"/>
      <c r="G75" s="671"/>
      <c r="H75" s="671"/>
      <c r="I75" s="671"/>
      <c r="J75" s="671"/>
      <c r="K75" s="671"/>
      <c r="L75" s="671"/>
      <c r="M75" s="671"/>
      <c r="N75" s="673"/>
    </row>
    <row r="76" spans="1:14" s="293" customFormat="1">
      <c r="A76" s="671"/>
      <c r="B76" s="671"/>
      <c r="C76" s="672"/>
      <c r="D76" s="671"/>
      <c r="E76" s="671"/>
      <c r="F76" s="671"/>
      <c r="G76" s="671"/>
      <c r="H76" s="671"/>
      <c r="I76" s="671"/>
      <c r="J76" s="671"/>
      <c r="K76" s="671"/>
      <c r="L76" s="671"/>
      <c r="M76" s="671"/>
      <c r="N76" s="673"/>
    </row>
    <row r="77" spans="1:14" s="293" customFormat="1">
      <c r="A77" s="671"/>
      <c r="B77" s="671"/>
      <c r="C77" s="672"/>
      <c r="D77" s="671"/>
      <c r="E77" s="671"/>
      <c r="F77" s="671"/>
      <c r="G77" s="671"/>
      <c r="H77" s="671"/>
      <c r="I77" s="671"/>
      <c r="J77" s="671"/>
      <c r="K77" s="671"/>
      <c r="L77" s="671"/>
      <c r="M77" s="671"/>
      <c r="N77" s="673"/>
    </row>
    <row r="78" spans="1:14" s="293" customFormat="1">
      <c r="A78" s="671"/>
      <c r="B78" s="671"/>
      <c r="C78" s="672"/>
      <c r="D78" s="671"/>
      <c r="E78" s="671"/>
      <c r="F78" s="671"/>
      <c r="G78" s="671"/>
      <c r="H78" s="671"/>
      <c r="I78" s="671"/>
      <c r="J78" s="671"/>
      <c r="K78" s="671"/>
      <c r="L78" s="671"/>
      <c r="M78" s="671"/>
      <c r="N78" s="673"/>
    </row>
    <row r="79" spans="1:14" s="293" customFormat="1">
      <c r="A79" s="671"/>
      <c r="B79" s="671"/>
      <c r="C79" s="672"/>
      <c r="D79" s="671"/>
      <c r="E79" s="671"/>
      <c r="F79" s="671"/>
      <c r="G79" s="671"/>
      <c r="H79" s="671"/>
      <c r="I79" s="671"/>
      <c r="J79" s="671"/>
      <c r="K79" s="671"/>
      <c r="L79" s="671"/>
      <c r="M79" s="671"/>
      <c r="N79" s="673"/>
    </row>
    <row r="80" spans="1:14" s="293" customFormat="1">
      <c r="A80" s="671"/>
      <c r="B80" s="671"/>
      <c r="C80" s="672"/>
      <c r="D80" s="671"/>
      <c r="E80" s="671"/>
      <c r="F80" s="671"/>
      <c r="G80" s="671"/>
      <c r="H80" s="671"/>
      <c r="I80" s="671"/>
      <c r="J80" s="671"/>
      <c r="K80" s="671"/>
      <c r="L80" s="671"/>
      <c r="M80" s="671"/>
      <c r="N80" s="673"/>
    </row>
    <row r="81" spans="1:14" s="293" customFormat="1">
      <c r="A81" s="671"/>
      <c r="B81" s="671"/>
      <c r="C81" s="672"/>
      <c r="D81" s="671"/>
      <c r="E81" s="671"/>
      <c r="F81" s="671"/>
      <c r="G81" s="671"/>
      <c r="H81" s="671"/>
      <c r="I81" s="671"/>
      <c r="J81" s="671"/>
      <c r="K81" s="671"/>
      <c r="L81" s="671"/>
      <c r="M81" s="671"/>
      <c r="N81" s="673"/>
    </row>
    <row r="82" spans="1:14" s="293" customFormat="1">
      <c r="A82" s="671"/>
      <c r="B82" s="671"/>
      <c r="C82" s="672"/>
      <c r="D82" s="671"/>
      <c r="E82" s="671"/>
      <c r="F82" s="671"/>
      <c r="G82" s="671"/>
      <c r="H82" s="671"/>
      <c r="I82" s="671"/>
      <c r="J82" s="671"/>
      <c r="K82" s="671"/>
      <c r="L82" s="671"/>
      <c r="M82" s="671"/>
      <c r="N82" s="673"/>
    </row>
    <row r="83" spans="1:14" s="293" customFormat="1">
      <c r="A83" s="671"/>
      <c r="B83" s="671"/>
      <c r="C83" s="672"/>
      <c r="D83" s="671"/>
      <c r="E83" s="671"/>
      <c r="F83" s="671"/>
      <c r="G83" s="671"/>
      <c r="H83" s="671"/>
      <c r="I83" s="671"/>
      <c r="J83" s="671"/>
      <c r="K83" s="671"/>
      <c r="L83" s="671"/>
      <c r="M83" s="671"/>
      <c r="N83" s="673"/>
    </row>
    <row r="84" spans="1:14" s="293" customFormat="1">
      <c r="A84" s="671"/>
      <c r="B84" s="671"/>
      <c r="C84" s="672"/>
      <c r="D84" s="671"/>
      <c r="E84" s="671"/>
      <c r="F84" s="671"/>
      <c r="G84" s="671"/>
      <c r="H84" s="671"/>
      <c r="I84" s="671"/>
      <c r="J84" s="671"/>
      <c r="K84" s="671"/>
      <c r="L84" s="671"/>
      <c r="M84" s="671"/>
      <c r="N84" s="673"/>
    </row>
    <row r="85" spans="1:14" s="293" customFormat="1">
      <c r="A85" s="671"/>
      <c r="B85" s="671"/>
      <c r="C85" s="672"/>
      <c r="D85" s="671"/>
      <c r="E85" s="671"/>
      <c r="F85" s="671"/>
      <c r="G85" s="671"/>
      <c r="H85" s="671"/>
      <c r="I85" s="671"/>
      <c r="J85" s="671"/>
      <c r="K85" s="671"/>
      <c r="L85" s="671"/>
      <c r="M85" s="671"/>
      <c r="N85" s="673"/>
    </row>
    <row r="86" spans="1:14" s="293" customFormat="1">
      <c r="A86" s="671"/>
      <c r="B86" s="671"/>
      <c r="C86" s="672"/>
      <c r="D86" s="671"/>
      <c r="E86" s="671"/>
      <c r="F86" s="671"/>
      <c r="G86" s="671"/>
      <c r="H86" s="671"/>
      <c r="I86" s="671"/>
      <c r="J86" s="671"/>
      <c r="K86" s="671"/>
      <c r="L86" s="671"/>
      <c r="M86" s="671"/>
      <c r="N86" s="673"/>
    </row>
    <row r="87" spans="1:14" s="293" customFormat="1">
      <c r="A87" s="671"/>
      <c r="B87" s="671"/>
      <c r="C87" s="672"/>
      <c r="D87" s="671"/>
      <c r="E87" s="671"/>
      <c r="F87" s="671"/>
      <c r="G87" s="671"/>
      <c r="H87" s="671"/>
      <c r="I87" s="671"/>
      <c r="J87" s="671"/>
      <c r="K87" s="671"/>
      <c r="L87" s="671"/>
      <c r="M87" s="671"/>
      <c r="N87" s="673"/>
    </row>
    <row r="88" spans="1:14" s="293" customFormat="1">
      <c r="A88" s="671"/>
      <c r="B88" s="671"/>
      <c r="C88" s="672"/>
      <c r="D88" s="671"/>
      <c r="E88" s="671"/>
      <c r="F88" s="671"/>
      <c r="G88" s="671"/>
      <c r="H88" s="671"/>
      <c r="I88" s="671"/>
      <c r="J88" s="671"/>
      <c r="K88" s="671"/>
      <c r="L88" s="671"/>
      <c r="M88" s="671"/>
      <c r="N88" s="673"/>
    </row>
    <row r="89" spans="1:14" s="293" customFormat="1">
      <c r="A89" s="671"/>
      <c r="B89" s="671"/>
      <c r="C89" s="672"/>
      <c r="D89" s="671"/>
      <c r="E89" s="671"/>
      <c r="F89" s="671"/>
      <c r="G89" s="671"/>
      <c r="H89" s="671"/>
      <c r="I89" s="671"/>
      <c r="J89" s="671"/>
      <c r="K89" s="671"/>
      <c r="L89" s="671"/>
      <c r="M89" s="671"/>
      <c r="N89" s="673"/>
    </row>
    <row r="90" spans="1:14" s="293" customFormat="1">
      <c r="A90" s="671"/>
      <c r="B90" s="671"/>
      <c r="C90" s="672"/>
      <c r="D90" s="671"/>
      <c r="E90" s="671"/>
      <c r="F90" s="671"/>
      <c r="G90" s="671"/>
      <c r="H90" s="671"/>
      <c r="I90" s="671"/>
      <c r="J90" s="671"/>
      <c r="K90" s="671"/>
      <c r="L90" s="671"/>
      <c r="M90" s="671"/>
      <c r="N90" s="673"/>
    </row>
    <row r="91" spans="1:14" s="293" customFormat="1">
      <c r="A91" s="671"/>
      <c r="B91" s="671"/>
      <c r="C91" s="672"/>
      <c r="D91" s="671"/>
      <c r="E91" s="671"/>
      <c r="F91" s="671"/>
      <c r="G91" s="671"/>
      <c r="H91" s="671"/>
      <c r="I91" s="671"/>
      <c r="J91" s="671"/>
      <c r="K91" s="671"/>
      <c r="L91" s="671"/>
      <c r="M91" s="671"/>
      <c r="N91" s="673"/>
    </row>
    <row r="92" spans="1:14" s="293" customFormat="1">
      <c r="A92" s="671"/>
      <c r="B92" s="671"/>
      <c r="C92" s="672"/>
      <c r="D92" s="671"/>
      <c r="E92" s="671"/>
      <c r="F92" s="671"/>
      <c r="G92" s="671"/>
      <c r="H92" s="671"/>
      <c r="I92" s="671"/>
      <c r="J92" s="671"/>
      <c r="K92" s="671"/>
      <c r="L92" s="671"/>
      <c r="M92" s="671"/>
      <c r="N92" s="673"/>
    </row>
    <row r="93" spans="1:14" s="293" customFormat="1">
      <c r="A93" s="671"/>
      <c r="B93" s="671"/>
      <c r="C93" s="672"/>
      <c r="D93" s="671"/>
      <c r="E93" s="671"/>
      <c r="F93" s="671"/>
      <c r="G93" s="671"/>
      <c r="H93" s="671"/>
      <c r="I93" s="671"/>
      <c r="J93" s="671"/>
      <c r="K93" s="671"/>
      <c r="L93" s="671"/>
      <c r="M93" s="671"/>
      <c r="N93" s="673"/>
    </row>
    <row r="94" spans="1:14" s="293" customFormat="1">
      <c r="C94" s="696"/>
      <c r="N94" s="697"/>
    </row>
  </sheetData>
  <mergeCells count="17">
    <mergeCell ref="A72:F72"/>
    <mergeCell ref="A73:F73"/>
    <mergeCell ref="A63:E63"/>
    <mergeCell ref="A64:F64"/>
    <mergeCell ref="A68:F68"/>
    <mergeCell ref="A69:F69"/>
    <mergeCell ref="A70:F70"/>
    <mergeCell ref="A54:F54"/>
    <mergeCell ref="A57:F57"/>
    <mergeCell ref="A59:F59"/>
    <mergeCell ref="A60:F60"/>
    <mergeCell ref="A61:F61"/>
    <mergeCell ref="A1:N1"/>
    <mergeCell ref="A45:F45"/>
    <mergeCell ref="A46:F46"/>
    <mergeCell ref="A47:B47"/>
    <mergeCell ref="A53:F53"/>
  </mergeCells>
  <printOptions horizontalCentered="1"/>
  <pageMargins left="0.2" right="0.2" top="0.75" bottom="0.75" header="0.3" footer="0.3"/>
  <pageSetup scale="76" orientation="landscape"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0.249977111117893"/>
    <pageSetUpPr fitToPage="1"/>
  </sheetPr>
  <dimension ref="A1:N94"/>
  <sheetViews>
    <sheetView workbookViewId="0">
      <selection sqref="A1:N1"/>
    </sheetView>
  </sheetViews>
  <sheetFormatPr defaultColWidth="9.1796875" defaultRowHeight="14.5"/>
  <cols>
    <col min="1" max="1" width="39.54296875" style="370" customWidth="1"/>
    <col min="2" max="2" width="7.7265625" style="370" customWidth="1"/>
    <col min="3" max="3" width="7.7265625" style="403" customWidth="1"/>
    <col min="4" max="4" width="11.81640625" style="370" bestFit="1" customWidth="1"/>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ustomWidth="1"/>
    <col min="14" max="14" width="46" style="370" customWidth="1"/>
    <col min="15" max="16384" width="9.1796875" style="370"/>
  </cols>
  <sheetData>
    <row r="1" spans="1:14" ht="15.5">
      <c r="A1" s="854" t="s">
        <v>165</v>
      </c>
      <c r="B1" s="854"/>
      <c r="C1" s="854"/>
      <c r="D1" s="854"/>
      <c r="E1" s="854"/>
      <c r="F1" s="854"/>
      <c r="G1" s="854"/>
      <c r="H1" s="854"/>
      <c r="I1" s="854"/>
      <c r="J1" s="854"/>
      <c r="K1" s="854"/>
      <c r="L1" s="854"/>
      <c r="M1" s="854"/>
      <c r="N1" s="854"/>
    </row>
    <row r="2" spans="1:14">
      <c r="A2" s="702" t="s">
        <v>850</v>
      </c>
      <c r="C2" s="639"/>
    </row>
    <row r="3" spans="1:14">
      <c r="A3" s="506" t="s">
        <v>823</v>
      </c>
      <c r="C3" s="639"/>
      <c r="F3" s="451" t="s">
        <v>210</v>
      </c>
    </row>
    <row r="4" spans="1:14">
      <c r="A4" s="506" t="s">
        <v>1304</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215</v>
      </c>
    </row>
    <row r="6" spans="1:14">
      <c r="A6" s="67" t="s">
        <v>216</v>
      </c>
      <c r="B6" s="68"/>
      <c r="C6" s="69"/>
      <c r="D6" s="68"/>
      <c r="E6" s="68"/>
      <c r="F6" s="70"/>
      <c r="G6" s="70"/>
      <c r="H6" s="70"/>
      <c r="I6" s="70"/>
      <c r="J6" s="70"/>
      <c r="K6" s="70"/>
      <c r="L6" s="70"/>
      <c r="M6" s="70"/>
      <c r="N6" s="70"/>
    </row>
    <row r="7" spans="1:14">
      <c r="A7" s="36" t="s">
        <v>217</v>
      </c>
      <c r="B7" s="36"/>
      <c r="C7" s="37" t="s">
        <v>218</v>
      </c>
      <c r="D7" s="38"/>
      <c r="E7" s="258">
        <v>0</v>
      </c>
      <c r="F7" s="303">
        <v>0</v>
      </c>
      <c r="G7" s="304">
        <v>0</v>
      </c>
      <c r="H7" s="304">
        <v>0</v>
      </c>
      <c r="I7" s="304">
        <v>0</v>
      </c>
      <c r="J7" s="304">
        <v>0</v>
      </c>
      <c r="K7" s="304">
        <v>0</v>
      </c>
      <c r="L7" s="304">
        <v>0</v>
      </c>
      <c r="M7" s="305">
        <v>0</v>
      </c>
      <c r="N7" s="318"/>
    </row>
    <row r="8" spans="1:14" ht="15" customHeight="1">
      <c r="A8" s="36" t="s">
        <v>217</v>
      </c>
      <c r="B8" s="36"/>
      <c r="C8" s="37" t="s">
        <v>218</v>
      </c>
      <c r="D8" s="39"/>
      <c r="E8" s="258">
        <v>0</v>
      </c>
      <c r="F8" s="303">
        <f t="shared" ref="F8:F15" si="0">SUM(G8:M8)</f>
        <v>0</v>
      </c>
      <c r="G8" s="304">
        <v>0</v>
      </c>
      <c r="H8" s="304">
        <v>0</v>
      </c>
      <c r="I8" s="304">
        <v>0</v>
      </c>
      <c r="J8" s="304">
        <v>0</v>
      </c>
      <c r="K8" s="304">
        <v>0</v>
      </c>
      <c r="L8" s="304">
        <v>0</v>
      </c>
      <c r="M8" s="305">
        <v>0</v>
      </c>
      <c r="N8" s="348"/>
    </row>
    <row r="9" spans="1:14" ht="15" customHeight="1">
      <c r="A9" s="36" t="s">
        <v>217</v>
      </c>
      <c r="B9" s="259"/>
      <c r="C9" s="37" t="s">
        <v>218</v>
      </c>
      <c r="D9" s="39"/>
      <c r="E9" s="258">
        <v>0</v>
      </c>
      <c r="F9" s="303">
        <f t="shared" si="0"/>
        <v>0</v>
      </c>
      <c r="G9" s="304">
        <v>0</v>
      </c>
      <c r="H9" s="304">
        <v>0</v>
      </c>
      <c r="I9" s="304">
        <v>0</v>
      </c>
      <c r="J9" s="304">
        <v>0</v>
      </c>
      <c r="K9" s="304">
        <v>0</v>
      </c>
      <c r="L9" s="304">
        <v>0</v>
      </c>
      <c r="M9" s="305">
        <v>0</v>
      </c>
      <c r="N9" s="348"/>
    </row>
    <row r="10" spans="1:14" ht="15" customHeight="1">
      <c r="A10" s="36" t="s">
        <v>217</v>
      </c>
      <c r="B10" s="259"/>
      <c r="C10" s="37" t="s">
        <v>218</v>
      </c>
      <c r="D10" s="39"/>
      <c r="E10" s="258">
        <v>0</v>
      </c>
      <c r="F10" s="303">
        <f t="shared" si="0"/>
        <v>0</v>
      </c>
      <c r="G10" s="304">
        <v>0</v>
      </c>
      <c r="H10" s="304">
        <v>0</v>
      </c>
      <c r="I10" s="304">
        <v>0</v>
      </c>
      <c r="J10" s="304">
        <v>0</v>
      </c>
      <c r="K10" s="304">
        <v>0</v>
      </c>
      <c r="L10" s="304">
        <v>0</v>
      </c>
      <c r="M10" s="305">
        <v>0</v>
      </c>
      <c r="N10" s="348"/>
    </row>
    <row r="11" spans="1:14" ht="15" customHeight="1">
      <c r="A11" s="36" t="s">
        <v>217</v>
      </c>
      <c r="B11" s="36"/>
      <c r="C11" s="37" t="s">
        <v>218</v>
      </c>
      <c r="D11" s="39"/>
      <c r="E11" s="258">
        <v>0</v>
      </c>
      <c r="F11" s="303">
        <f t="shared" si="0"/>
        <v>0</v>
      </c>
      <c r="G11" s="304">
        <v>0</v>
      </c>
      <c r="H11" s="304">
        <v>0</v>
      </c>
      <c r="I11" s="304">
        <v>0</v>
      </c>
      <c r="J11" s="304">
        <v>0</v>
      </c>
      <c r="K11" s="304">
        <v>0</v>
      </c>
      <c r="L11" s="304">
        <v>0</v>
      </c>
      <c r="M11" s="305">
        <v>0</v>
      </c>
      <c r="N11" s="348"/>
    </row>
    <row r="12" spans="1:14" ht="15" customHeight="1">
      <c r="A12" s="36" t="s">
        <v>217</v>
      </c>
      <c r="B12" s="259"/>
      <c r="C12" s="37" t="s">
        <v>218</v>
      </c>
      <c r="D12" s="39"/>
      <c r="E12" s="258">
        <v>0</v>
      </c>
      <c r="F12" s="303">
        <f t="shared" si="0"/>
        <v>0</v>
      </c>
      <c r="G12" s="304">
        <v>0</v>
      </c>
      <c r="H12" s="304">
        <v>0</v>
      </c>
      <c r="I12" s="304">
        <v>0</v>
      </c>
      <c r="J12" s="304">
        <v>0</v>
      </c>
      <c r="K12" s="304">
        <v>0</v>
      </c>
      <c r="L12" s="304">
        <v>0</v>
      </c>
      <c r="M12" s="305">
        <v>0</v>
      </c>
      <c r="N12" s="348"/>
    </row>
    <row r="13" spans="1:14">
      <c r="A13" s="36" t="s">
        <v>217</v>
      </c>
      <c r="B13" s="259"/>
      <c r="C13" s="37" t="s">
        <v>218</v>
      </c>
      <c r="D13" s="39"/>
      <c r="E13" s="258">
        <v>0</v>
      </c>
      <c r="F13" s="303">
        <f t="shared" si="0"/>
        <v>0</v>
      </c>
      <c r="G13" s="304">
        <v>0</v>
      </c>
      <c r="H13" s="304">
        <v>0</v>
      </c>
      <c r="I13" s="304">
        <v>0</v>
      </c>
      <c r="J13" s="304">
        <v>0</v>
      </c>
      <c r="K13" s="304">
        <v>0</v>
      </c>
      <c r="L13" s="304">
        <v>0</v>
      </c>
      <c r="M13" s="305">
        <v>0</v>
      </c>
      <c r="N13" s="348"/>
    </row>
    <row r="14" spans="1:14">
      <c r="A14" s="36" t="s">
        <v>217</v>
      </c>
      <c r="B14" s="259"/>
      <c r="C14" s="37" t="s">
        <v>218</v>
      </c>
      <c r="D14" s="39"/>
      <c r="E14" s="258">
        <v>0</v>
      </c>
      <c r="F14" s="303">
        <f t="shared" si="0"/>
        <v>0</v>
      </c>
      <c r="G14" s="304">
        <v>0</v>
      </c>
      <c r="H14" s="304">
        <v>0</v>
      </c>
      <c r="I14" s="304">
        <v>0</v>
      </c>
      <c r="J14" s="304">
        <v>0</v>
      </c>
      <c r="K14" s="304">
        <v>0</v>
      </c>
      <c r="L14" s="304">
        <v>0</v>
      </c>
      <c r="M14" s="305">
        <v>0</v>
      </c>
      <c r="N14" s="348"/>
    </row>
    <row r="15" spans="1:14">
      <c r="A15" s="36" t="s">
        <v>217</v>
      </c>
      <c r="B15" s="260"/>
      <c r="C15" s="37" t="s">
        <v>218</v>
      </c>
      <c r="D15" s="39"/>
      <c r="E15" s="258">
        <v>0</v>
      </c>
      <c r="F15" s="303">
        <f t="shared" si="0"/>
        <v>0</v>
      </c>
      <c r="G15" s="304">
        <v>0</v>
      </c>
      <c r="H15" s="304">
        <v>0</v>
      </c>
      <c r="I15" s="304">
        <v>0</v>
      </c>
      <c r="J15" s="304">
        <v>0</v>
      </c>
      <c r="K15" s="304">
        <v>0</v>
      </c>
      <c r="L15" s="304">
        <v>0</v>
      </c>
      <c r="M15" s="305">
        <v>0</v>
      </c>
      <c r="N15" s="348"/>
    </row>
    <row r="16" spans="1:14">
      <c r="A16" s="40" t="s">
        <v>219</v>
      </c>
      <c r="B16" s="260"/>
      <c r="C16" s="261"/>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48"/>
    </row>
    <row r="17" spans="1:14">
      <c r="A17" s="67" t="s">
        <v>220</v>
      </c>
      <c r="B17" s="68"/>
      <c r="C17" s="69"/>
      <c r="D17" s="68"/>
      <c r="E17" s="68"/>
      <c r="F17" s="70"/>
      <c r="G17" s="70"/>
      <c r="H17" s="70"/>
      <c r="I17" s="70"/>
      <c r="J17" s="70"/>
      <c r="K17" s="70"/>
      <c r="L17" s="70"/>
      <c r="M17" s="70"/>
      <c r="N17" s="70"/>
    </row>
    <row r="18" spans="1:14" ht="72.5">
      <c r="A18" s="530" t="s">
        <v>1171</v>
      </c>
      <c r="B18" s="530"/>
      <c r="C18" s="597">
        <v>253</v>
      </c>
      <c r="D18" s="45" t="s">
        <v>293</v>
      </c>
      <c r="E18" s="258">
        <v>32</v>
      </c>
      <c r="F18" s="350">
        <f>SUM(G18:M18)</f>
        <v>32</v>
      </c>
      <c r="G18" s="304">
        <v>0</v>
      </c>
      <c r="H18" s="304">
        <v>0</v>
      </c>
      <c r="I18" s="304">
        <v>0</v>
      </c>
      <c r="J18" s="304">
        <v>0</v>
      </c>
      <c r="K18" s="304">
        <v>0</v>
      </c>
      <c r="L18" s="304">
        <v>32</v>
      </c>
      <c r="M18" s="305">
        <v>0</v>
      </c>
      <c r="N18" s="538" t="s">
        <v>1172</v>
      </c>
    </row>
    <row r="19" spans="1:14">
      <c r="A19" s="259" t="s">
        <v>278</v>
      </c>
      <c r="B19" s="259"/>
      <c r="C19" s="44">
        <v>253</v>
      </c>
      <c r="D19" s="45"/>
      <c r="E19" s="258">
        <v>0</v>
      </c>
      <c r="F19" s="350">
        <f>SUM(G19:M19)</f>
        <v>0</v>
      </c>
      <c r="G19" s="304">
        <v>0</v>
      </c>
      <c r="H19" s="304">
        <v>0</v>
      </c>
      <c r="I19" s="304">
        <v>0</v>
      </c>
      <c r="J19" s="304">
        <v>0</v>
      </c>
      <c r="K19" s="304">
        <v>0</v>
      </c>
      <c r="L19" s="304">
        <v>0</v>
      </c>
      <c r="M19" s="305">
        <v>0</v>
      </c>
      <c r="N19" s="319"/>
    </row>
    <row r="20" spans="1:14">
      <c r="A20" s="259" t="s">
        <v>278</v>
      </c>
      <c r="B20" s="259"/>
      <c r="C20" s="44">
        <v>253</v>
      </c>
      <c r="D20" s="262"/>
      <c r="E20" s="258">
        <v>0</v>
      </c>
      <c r="F20" s="350">
        <f>SUM(G20:M20)</f>
        <v>0</v>
      </c>
      <c r="G20" s="304">
        <v>0</v>
      </c>
      <c r="H20" s="304">
        <v>0</v>
      </c>
      <c r="I20" s="304">
        <v>0</v>
      </c>
      <c r="J20" s="304">
        <v>0</v>
      </c>
      <c r="K20" s="304">
        <v>0</v>
      </c>
      <c r="L20" s="304">
        <v>0</v>
      </c>
      <c r="M20" s="305">
        <v>0</v>
      </c>
      <c r="N20" s="348"/>
    </row>
    <row r="21" spans="1:14" s="351" customFormat="1">
      <c r="A21" s="259" t="s">
        <v>278</v>
      </c>
      <c r="B21" s="259"/>
      <c r="C21" s="44">
        <v>253</v>
      </c>
      <c r="D21" s="262"/>
      <c r="E21" s="258">
        <v>0</v>
      </c>
      <c r="F21" s="350">
        <f>SUM(G21:M21)</f>
        <v>0</v>
      </c>
      <c r="G21" s="304">
        <v>0</v>
      </c>
      <c r="H21" s="304">
        <v>0</v>
      </c>
      <c r="I21" s="304">
        <v>0</v>
      </c>
      <c r="J21" s="304">
        <v>0</v>
      </c>
      <c r="K21" s="304">
        <v>0</v>
      </c>
      <c r="L21" s="304">
        <v>0</v>
      </c>
      <c r="M21" s="305">
        <v>0</v>
      </c>
      <c r="N21" s="319"/>
    </row>
    <row r="22" spans="1:14">
      <c r="A22" s="40" t="s">
        <v>225</v>
      </c>
      <c r="B22" s="260"/>
      <c r="C22" s="261"/>
      <c r="D22" s="262">
        <f>SUM(D18:D21)</f>
        <v>0</v>
      </c>
      <c r="E22" s="43">
        <f>SUM(E18:E21)</f>
        <v>32</v>
      </c>
      <c r="F22" s="43">
        <f>SUM(F18:F21)</f>
        <v>32</v>
      </c>
      <c r="G22" s="43">
        <f t="shared" ref="G22:M22" si="2">SUM(G18:G21)</f>
        <v>0</v>
      </c>
      <c r="H22" s="43">
        <f t="shared" si="2"/>
        <v>0</v>
      </c>
      <c r="I22" s="43">
        <f t="shared" si="2"/>
        <v>0</v>
      </c>
      <c r="J22" s="43">
        <f t="shared" si="2"/>
        <v>0</v>
      </c>
      <c r="K22" s="43">
        <f t="shared" si="2"/>
        <v>0</v>
      </c>
      <c r="L22" s="43">
        <f t="shared" si="2"/>
        <v>32</v>
      </c>
      <c r="M22" s="43">
        <f t="shared" si="2"/>
        <v>0</v>
      </c>
      <c r="N22" s="348"/>
    </row>
    <row r="23" spans="1:14" s="351" customFormat="1">
      <c r="A23" s="125" t="s">
        <v>226</v>
      </c>
      <c r="B23" s="126"/>
      <c r="C23" s="126"/>
      <c r="D23" s="126"/>
      <c r="E23" s="87"/>
      <c r="F23" s="87"/>
      <c r="G23" s="87"/>
      <c r="H23" s="87"/>
      <c r="I23" s="87"/>
      <c r="J23" s="87"/>
      <c r="K23" s="87"/>
      <c r="L23" s="87"/>
      <c r="M23" s="87"/>
      <c r="N23" s="128"/>
    </row>
    <row r="24" spans="1:14" ht="15" customHeight="1">
      <c r="A24" s="259" t="s">
        <v>227</v>
      </c>
      <c r="B24" s="36"/>
      <c r="C24" s="37" t="s">
        <v>228</v>
      </c>
      <c r="D24" s="38">
        <v>0</v>
      </c>
      <c r="E24" s="258">
        <v>0</v>
      </c>
      <c r="F24" s="303">
        <f t="shared" ref="F24:F36" si="3">SUM(G24:M24)</f>
        <v>0</v>
      </c>
      <c r="G24" s="304">
        <v>0</v>
      </c>
      <c r="H24" s="304">
        <v>0</v>
      </c>
      <c r="I24" s="304">
        <v>0</v>
      </c>
      <c r="J24" s="304">
        <v>0</v>
      </c>
      <c r="K24" s="304">
        <v>0</v>
      </c>
      <c r="L24" s="304">
        <v>0</v>
      </c>
      <c r="M24" s="305">
        <v>0</v>
      </c>
      <c r="N24" s="318"/>
    </row>
    <row r="25" spans="1:14">
      <c r="A25" s="259" t="s">
        <v>229</v>
      </c>
      <c r="B25" s="36"/>
      <c r="C25" s="44" t="s">
        <v>230</v>
      </c>
      <c r="D25" s="45"/>
      <c r="E25" s="258">
        <v>0</v>
      </c>
      <c r="F25" s="303">
        <f t="shared" si="3"/>
        <v>0</v>
      </c>
      <c r="G25" s="304">
        <v>0</v>
      </c>
      <c r="H25" s="304">
        <v>0</v>
      </c>
      <c r="I25" s="304">
        <v>0</v>
      </c>
      <c r="J25" s="304">
        <v>0</v>
      </c>
      <c r="K25" s="304">
        <v>0</v>
      </c>
      <c r="L25" s="304">
        <v>0</v>
      </c>
      <c r="M25" s="305">
        <v>0</v>
      </c>
      <c r="N25" s="348"/>
    </row>
    <row r="26" spans="1:14">
      <c r="A26" s="259" t="s">
        <v>231</v>
      </c>
      <c r="B26" s="36"/>
      <c r="C26" s="44" t="s">
        <v>232</v>
      </c>
      <c r="D26" s="45"/>
      <c r="E26" s="258">
        <v>0</v>
      </c>
      <c r="F26" s="303">
        <f t="shared" si="3"/>
        <v>0</v>
      </c>
      <c r="G26" s="304">
        <v>0</v>
      </c>
      <c r="H26" s="304">
        <v>0</v>
      </c>
      <c r="I26" s="304">
        <v>0</v>
      </c>
      <c r="J26" s="304">
        <v>0</v>
      </c>
      <c r="K26" s="304">
        <v>0</v>
      </c>
      <c r="L26" s="304">
        <v>0</v>
      </c>
      <c r="M26" s="305">
        <v>0</v>
      </c>
      <c r="N26" s="348"/>
    </row>
    <row r="27" spans="1:14">
      <c r="A27" s="259" t="s">
        <v>233</v>
      </c>
      <c r="B27" s="36"/>
      <c r="C27" s="44" t="s">
        <v>234</v>
      </c>
      <c r="D27" s="45"/>
      <c r="E27" s="258">
        <v>0</v>
      </c>
      <c r="F27" s="303">
        <f t="shared" si="3"/>
        <v>0</v>
      </c>
      <c r="G27" s="304">
        <v>0</v>
      </c>
      <c r="H27" s="304">
        <v>0</v>
      </c>
      <c r="I27" s="304">
        <v>0</v>
      </c>
      <c r="J27" s="304">
        <v>0</v>
      </c>
      <c r="K27" s="304">
        <v>0</v>
      </c>
      <c r="L27" s="304">
        <v>0</v>
      </c>
      <c r="M27" s="305">
        <v>0</v>
      </c>
      <c r="N27" s="348"/>
    </row>
    <row r="28" spans="1:14" ht="116">
      <c r="A28" s="259" t="s">
        <v>235</v>
      </c>
      <c r="B28" s="36"/>
      <c r="C28" s="44">
        <v>251</v>
      </c>
      <c r="D28" s="45"/>
      <c r="E28" s="258">
        <v>306</v>
      </c>
      <c r="F28" s="303">
        <f t="shared" si="3"/>
        <v>306</v>
      </c>
      <c r="G28" s="304">
        <v>0</v>
      </c>
      <c r="H28" s="304">
        <v>306</v>
      </c>
      <c r="I28" s="304">
        <v>0</v>
      </c>
      <c r="J28" s="304">
        <v>0</v>
      </c>
      <c r="K28" s="304">
        <v>0</v>
      </c>
      <c r="L28" s="304">
        <v>0</v>
      </c>
      <c r="M28" s="305">
        <v>0</v>
      </c>
      <c r="N28" s="729" t="s">
        <v>853</v>
      </c>
    </row>
    <row r="29" spans="1:14">
      <c r="A29" s="259" t="s">
        <v>316</v>
      </c>
      <c r="B29" s="36"/>
      <c r="C29" s="44">
        <v>251</v>
      </c>
      <c r="D29" s="45"/>
      <c r="E29" s="258">
        <v>0</v>
      </c>
      <c r="F29" s="303">
        <f t="shared" si="3"/>
        <v>0</v>
      </c>
      <c r="G29" s="304"/>
      <c r="H29" s="304">
        <v>0</v>
      </c>
      <c r="I29" s="304"/>
      <c r="J29" s="304">
        <v>0</v>
      </c>
      <c r="K29" s="304">
        <v>0</v>
      </c>
      <c r="L29" s="304">
        <v>0</v>
      </c>
      <c r="M29" s="305">
        <v>0</v>
      </c>
      <c r="N29" s="253"/>
    </row>
    <row r="30" spans="1:14">
      <c r="A30" s="259" t="s">
        <v>242</v>
      </c>
      <c r="B30" s="36"/>
      <c r="C30" s="44">
        <v>252</v>
      </c>
      <c r="D30" s="45"/>
      <c r="E30" s="258">
        <v>0</v>
      </c>
      <c r="F30" s="303">
        <f t="shared" si="3"/>
        <v>0</v>
      </c>
      <c r="G30" s="304">
        <v>0</v>
      </c>
      <c r="H30" s="304">
        <v>0</v>
      </c>
      <c r="I30" s="304">
        <v>0</v>
      </c>
      <c r="J30" s="304">
        <v>0</v>
      </c>
      <c r="K30" s="304">
        <v>0</v>
      </c>
      <c r="L30" s="304">
        <v>0</v>
      </c>
      <c r="M30" s="305">
        <v>0</v>
      </c>
      <c r="N30" s="348"/>
    </row>
    <row r="31" spans="1:14">
      <c r="A31" s="259" t="s">
        <v>243</v>
      </c>
      <c r="B31" s="36"/>
      <c r="C31" s="44">
        <v>252</v>
      </c>
      <c r="D31" s="45"/>
      <c r="E31" s="258">
        <v>0</v>
      </c>
      <c r="F31" s="303">
        <f t="shared" si="3"/>
        <v>0</v>
      </c>
      <c r="G31" s="304">
        <v>0</v>
      </c>
      <c r="H31" s="304">
        <v>0</v>
      </c>
      <c r="I31" s="304">
        <v>0</v>
      </c>
      <c r="J31" s="304">
        <v>0</v>
      </c>
      <c r="K31" s="304">
        <v>0</v>
      </c>
      <c r="L31" s="304">
        <v>0</v>
      </c>
      <c r="M31" s="305">
        <v>0</v>
      </c>
      <c r="N31" s="348"/>
    </row>
    <row r="32" spans="1:14">
      <c r="A32" s="259" t="s">
        <v>244</v>
      </c>
      <c r="B32" s="36"/>
      <c r="C32" s="44">
        <v>253</v>
      </c>
      <c r="D32" s="259"/>
      <c r="E32" s="258">
        <v>0</v>
      </c>
      <c r="F32" s="303">
        <f t="shared" si="3"/>
        <v>0</v>
      </c>
      <c r="G32" s="304">
        <v>0</v>
      </c>
      <c r="H32" s="304">
        <v>0</v>
      </c>
      <c r="I32" s="304">
        <v>0</v>
      </c>
      <c r="J32" s="304">
        <v>0</v>
      </c>
      <c r="K32" s="304">
        <v>0</v>
      </c>
      <c r="L32" s="304">
        <v>0</v>
      </c>
      <c r="M32" s="305">
        <v>0</v>
      </c>
      <c r="N32" s="348"/>
    </row>
    <row r="33" spans="1:14">
      <c r="A33" s="259" t="s">
        <v>245</v>
      </c>
      <c r="B33" s="36"/>
      <c r="C33" s="44">
        <v>255</v>
      </c>
      <c r="D33" s="259"/>
      <c r="E33" s="258">
        <v>0</v>
      </c>
      <c r="F33" s="303">
        <f t="shared" si="3"/>
        <v>0</v>
      </c>
      <c r="G33" s="304">
        <v>0</v>
      </c>
      <c r="H33" s="304">
        <v>0</v>
      </c>
      <c r="I33" s="304">
        <v>0</v>
      </c>
      <c r="J33" s="304">
        <v>0</v>
      </c>
      <c r="K33" s="304">
        <v>0</v>
      </c>
      <c r="L33" s="304">
        <v>0</v>
      </c>
      <c r="M33" s="305">
        <v>0</v>
      </c>
      <c r="N33" s="348"/>
    </row>
    <row r="34" spans="1:14">
      <c r="A34" s="259" t="s">
        <v>246</v>
      </c>
      <c r="B34" s="36"/>
      <c r="C34" s="44">
        <v>256</v>
      </c>
      <c r="D34" s="259"/>
      <c r="E34" s="258">
        <v>0</v>
      </c>
      <c r="F34" s="303">
        <f t="shared" si="3"/>
        <v>0</v>
      </c>
      <c r="G34" s="304">
        <v>0</v>
      </c>
      <c r="H34" s="304">
        <v>0</v>
      </c>
      <c r="I34" s="304">
        <v>0</v>
      </c>
      <c r="J34" s="304">
        <v>0</v>
      </c>
      <c r="K34" s="304">
        <v>0</v>
      </c>
      <c r="L34" s="304">
        <v>0</v>
      </c>
      <c r="M34" s="305">
        <v>0</v>
      </c>
      <c r="N34" s="348"/>
    </row>
    <row r="35" spans="1:14" ht="72.5">
      <c r="A35" s="259" t="s">
        <v>247</v>
      </c>
      <c r="B35" s="36"/>
      <c r="C35" s="44">
        <v>257</v>
      </c>
      <c r="D35" s="259"/>
      <c r="E35" s="258">
        <v>50</v>
      </c>
      <c r="F35" s="303">
        <f t="shared" si="3"/>
        <v>50</v>
      </c>
      <c r="G35" s="304">
        <v>0</v>
      </c>
      <c r="H35" s="304">
        <v>50</v>
      </c>
      <c r="I35" s="304">
        <v>0</v>
      </c>
      <c r="J35" s="304">
        <v>0</v>
      </c>
      <c r="K35" s="304">
        <v>0</v>
      </c>
      <c r="L35" s="304">
        <v>0</v>
      </c>
      <c r="M35" s="305">
        <v>0</v>
      </c>
      <c r="N35" s="538" t="s">
        <v>852</v>
      </c>
    </row>
    <row r="36" spans="1:14">
      <c r="A36" s="259" t="s">
        <v>248</v>
      </c>
      <c r="B36" s="36"/>
      <c r="C36" s="44" t="s">
        <v>249</v>
      </c>
      <c r="D36" s="259"/>
      <c r="E36" s="258">
        <v>0</v>
      </c>
      <c r="F36" s="303">
        <f t="shared" si="3"/>
        <v>0</v>
      </c>
      <c r="G36" s="304">
        <v>0</v>
      </c>
      <c r="H36" s="304">
        <v>0</v>
      </c>
      <c r="I36" s="304">
        <v>0</v>
      </c>
      <c r="J36" s="304">
        <v>0</v>
      </c>
      <c r="K36" s="304">
        <v>0</v>
      </c>
      <c r="L36" s="304">
        <v>0</v>
      </c>
      <c r="M36" s="305">
        <v>0</v>
      </c>
      <c r="N36" s="348"/>
    </row>
    <row r="37" spans="1:14">
      <c r="A37" s="260" t="s">
        <v>250</v>
      </c>
      <c r="B37" s="36"/>
      <c r="C37" s="261" t="s">
        <v>251</v>
      </c>
      <c r="D37" s="241"/>
      <c r="E37" s="258">
        <v>18</v>
      </c>
      <c r="F37" s="303">
        <f>SUM(G37:M37)</f>
        <v>50</v>
      </c>
      <c r="G37" s="304">
        <v>0</v>
      </c>
      <c r="H37" s="304">
        <v>50</v>
      </c>
      <c r="I37" s="304">
        <v>0</v>
      </c>
      <c r="J37" s="304">
        <v>0</v>
      </c>
      <c r="K37" s="304">
        <v>0</v>
      </c>
      <c r="L37" s="304">
        <v>0</v>
      </c>
      <c r="M37" s="305">
        <v>0</v>
      </c>
      <c r="N37" s="538" t="s">
        <v>851</v>
      </c>
    </row>
    <row r="38" spans="1:14" ht="29.5" customHeight="1">
      <c r="A38" s="260" t="s">
        <v>252</v>
      </c>
      <c r="B38" s="378"/>
      <c r="C38" s="261" t="s">
        <v>253</v>
      </c>
      <c r="D38" s="260"/>
      <c r="E38" s="311">
        <v>0</v>
      </c>
      <c r="F38" s="303">
        <f>SUM(G38:M38)</f>
        <v>0</v>
      </c>
      <c r="G38" s="163">
        <v>0</v>
      </c>
      <c r="H38" s="163">
        <v>0</v>
      </c>
      <c r="I38" s="163">
        <v>0</v>
      </c>
      <c r="J38" s="163">
        <v>0</v>
      </c>
      <c r="K38" s="163">
        <v>0</v>
      </c>
      <c r="L38" s="163">
        <v>0</v>
      </c>
      <c r="M38" s="164">
        <v>0</v>
      </c>
      <c r="N38" s="318"/>
    </row>
    <row r="39" spans="1:14">
      <c r="A39" s="40" t="s">
        <v>254</v>
      </c>
      <c r="B39" s="260"/>
      <c r="C39" s="261"/>
      <c r="D39" s="242"/>
      <c r="E39" s="237">
        <f t="shared" ref="E39:M39" si="4">SUM(E24:E38)</f>
        <v>374</v>
      </c>
      <c r="F39" s="238">
        <f t="shared" si="4"/>
        <v>406</v>
      </c>
      <c r="G39" s="238">
        <f t="shared" si="4"/>
        <v>0</v>
      </c>
      <c r="H39" s="238">
        <f t="shared" si="4"/>
        <v>406</v>
      </c>
      <c r="I39" s="238">
        <f t="shared" si="4"/>
        <v>0</v>
      </c>
      <c r="J39" s="238">
        <f t="shared" si="4"/>
        <v>0</v>
      </c>
      <c r="K39" s="238">
        <f t="shared" si="4"/>
        <v>0</v>
      </c>
      <c r="L39" s="238">
        <f t="shared" si="4"/>
        <v>0</v>
      </c>
      <c r="M39" s="238">
        <f t="shared" si="4"/>
        <v>0</v>
      </c>
      <c r="N39" s="348"/>
    </row>
    <row r="40" spans="1:14">
      <c r="A40" s="40" t="s">
        <v>255</v>
      </c>
      <c r="B40" s="51"/>
      <c r="C40" s="147"/>
      <c r="D40" s="242"/>
      <c r="E40" s="239"/>
      <c r="F40" s="240">
        <f>SUM(G40:L40)</f>
        <v>0</v>
      </c>
      <c r="G40" s="240"/>
      <c r="H40" s="240">
        <v>0</v>
      </c>
      <c r="I40" s="240"/>
      <c r="J40" s="240"/>
      <c r="K40" s="240"/>
      <c r="L40" s="240"/>
      <c r="M40" s="240"/>
      <c r="N40" s="318"/>
    </row>
    <row r="41" spans="1:14">
      <c r="A41" s="40" t="s">
        <v>256</v>
      </c>
      <c r="B41" s="46"/>
      <c r="C41" s="47"/>
      <c r="D41" s="48">
        <f>D39+D22+D16</f>
        <v>0</v>
      </c>
      <c r="E41" s="237">
        <f>E39+E22+E16-E40</f>
        <v>406</v>
      </c>
      <c r="F41" s="17">
        <f t="shared" ref="F41:M41" si="5">F39+F22+F16-F40</f>
        <v>438</v>
      </c>
      <c r="G41" s="17">
        <f t="shared" si="5"/>
        <v>0</v>
      </c>
      <c r="H41" s="17">
        <f t="shared" si="5"/>
        <v>406</v>
      </c>
      <c r="I41" s="17">
        <f t="shared" si="5"/>
        <v>0</v>
      </c>
      <c r="J41" s="17">
        <f t="shared" si="5"/>
        <v>0</v>
      </c>
      <c r="K41" s="17">
        <f t="shared" si="5"/>
        <v>0</v>
      </c>
      <c r="L41" s="17">
        <f t="shared" si="5"/>
        <v>32</v>
      </c>
      <c r="M41" s="17">
        <f t="shared" si="5"/>
        <v>0</v>
      </c>
      <c r="N41" s="346"/>
    </row>
    <row r="44" spans="1:14" s="293" customFormat="1" ht="15" thickBot="1">
      <c r="A44" s="671"/>
      <c r="B44" s="671"/>
      <c r="C44" s="672"/>
      <c r="D44" s="671"/>
      <c r="E44" s="671"/>
      <c r="F44" s="671"/>
      <c r="G44" s="671"/>
      <c r="H44" s="671"/>
      <c r="I44" s="671"/>
      <c r="J44" s="671"/>
      <c r="K44" s="671"/>
      <c r="L44" s="671"/>
      <c r="M44" s="671"/>
      <c r="N44" s="673"/>
    </row>
    <row r="45" spans="1:14" s="293" customFormat="1" ht="15.5">
      <c r="A45" s="1062" t="s">
        <v>257</v>
      </c>
      <c r="B45" s="1063"/>
      <c r="C45" s="1063"/>
      <c r="D45" s="1063"/>
      <c r="E45" s="1063"/>
      <c r="F45" s="1063"/>
      <c r="G45" s="674"/>
      <c r="H45" s="671"/>
      <c r="I45" s="671"/>
      <c r="J45" s="671"/>
      <c r="K45" s="671"/>
      <c r="L45" s="671"/>
      <c r="M45" s="671"/>
      <c r="N45" s="673"/>
    </row>
    <row r="46" spans="1:14" s="293" customFormat="1" ht="15.5">
      <c r="A46" s="1064"/>
      <c r="B46" s="1065"/>
      <c r="C46" s="1065"/>
      <c r="D46" s="1065"/>
      <c r="E46" s="1065"/>
      <c r="F46" s="1065"/>
      <c r="G46" s="675"/>
      <c r="H46" s="671"/>
      <c r="I46" s="671"/>
      <c r="J46" s="671"/>
      <c r="K46" s="671"/>
      <c r="L46" s="671"/>
      <c r="M46" s="671"/>
      <c r="N46" s="673"/>
    </row>
    <row r="47" spans="1:14" s="293" customFormat="1">
      <c r="A47" s="1066" t="s">
        <v>258</v>
      </c>
      <c r="B47" s="1067"/>
      <c r="C47" s="676"/>
      <c r="D47" s="676"/>
      <c r="E47" s="676"/>
      <c r="F47" s="676"/>
      <c r="G47" s="675"/>
      <c r="H47" s="671"/>
      <c r="I47" s="671"/>
      <c r="J47" s="671"/>
      <c r="K47" s="671"/>
      <c r="L47" s="671"/>
      <c r="M47" s="671"/>
      <c r="N47" s="673"/>
    </row>
    <row r="48" spans="1:14" s="293" customFormat="1">
      <c r="A48" s="677" t="s">
        <v>1028</v>
      </c>
      <c r="B48" s="678">
        <f>E41</f>
        <v>406</v>
      </c>
      <c r="C48" s="679"/>
      <c r="D48" s="680"/>
      <c r="E48" s="680"/>
      <c r="F48" s="680"/>
      <c r="G48" s="675"/>
      <c r="H48" s="671"/>
      <c r="I48" s="671"/>
      <c r="J48" s="671"/>
      <c r="K48" s="671"/>
      <c r="L48" s="671"/>
      <c r="M48" s="671"/>
      <c r="N48" s="673"/>
    </row>
    <row r="49" spans="1:14" s="293" customFormat="1">
      <c r="A49" s="681" t="s">
        <v>1029</v>
      </c>
      <c r="B49" s="682">
        <f>F41</f>
        <v>438</v>
      </c>
      <c r="C49" s="679"/>
      <c r="D49" s="680"/>
      <c r="E49" s="680"/>
      <c r="F49" s="680"/>
      <c r="G49" s="675"/>
      <c r="H49" s="671"/>
      <c r="I49" s="671"/>
      <c r="J49" s="671"/>
      <c r="K49" s="671"/>
      <c r="L49" s="671"/>
      <c r="M49" s="671"/>
      <c r="N49" s="673"/>
    </row>
    <row r="50" spans="1:14" s="293" customFormat="1">
      <c r="A50" s="683" t="s">
        <v>259</v>
      </c>
      <c r="B50" s="684">
        <f>B49-B48</f>
        <v>32</v>
      </c>
      <c r="C50" s="679"/>
      <c r="D50" s="680"/>
      <c r="E50" s="680"/>
      <c r="F50" s="680"/>
      <c r="G50" s="675"/>
      <c r="H50" s="671"/>
      <c r="I50" s="671"/>
      <c r="J50" s="671"/>
      <c r="K50" s="671"/>
      <c r="L50" s="671"/>
      <c r="M50" s="671"/>
      <c r="N50" s="673"/>
    </row>
    <row r="51" spans="1:14" s="293" customFormat="1">
      <c r="A51" s="683" t="s">
        <v>260</v>
      </c>
      <c r="B51" s="685">
        <f>B50/B48</f>
        <v>7.8817733990147784E-2</v>
      </c>
      <c r="C51" s="679"/>
      <c r="D51" s="680"/>
      <c r="E51" s="680"/>
      <c r="F51" s="680"/>
      <c r="G51" s="675"/>
      <c r="H51" s="671"/>
      <c r="I51" s="671"/>
      <c r="J51" s="671"/>
      <c r="K51" s="671"/>
      <c r="L51" s="671"/>
      <c r="M51" s="671"/>
      <c r="N51" s="673"/>
    </row>
    <row r="52" spans="1:14" s="293" customFormat="1">
      <c r="A52" s="686"/>
      <c r="B52" s="680"/>
      <c r="C52" s="687"/>
      <c r="D52" s="680"/>
      <c r="E52" s="680"/>
      <c r="F52" s="680"/>
      <c r="G52" s="675"/>
      <c r="H52" s="671"/>
      <c r="I52" s="671"/>
      <c r="J52" s="671"/>
      <c r="K52" s="671"/>
      <c r="L52" s="671"/>
      <c r="M52" s="671"/>
      <c r="N52" s="673"/>
    </row>
    <row r="53" spans="1:14" s="293" customFormat="1">
      <c r="A53" s="1000" t="s">
        <v>261</v>
      </c>
      <c r="B53" s="1001"/>
      <c r="C53" s="1001"/>
      <c r="D53" s="1001"/>
      <c r="E53" s="1001"/>
      <c r="F53" s="1001"/>
      <c r="G53" s="675"/>
      <c r="H53" s="671"/>
      <c r="I53" s="671"/>
      <c r="J53" s="671"/>
      <c r="K53" s="671"/>
      <c r="L53" s="671"/>
      <c r="M53" s="671"/>
      <c r="N53" s="673"/>
    </row>
    <row r="54" spans="1:14" s="293" customFormat="1" ht="37.5" customHeight="1">
      <c r="A54" s="1077" t="s">
        <v>781</v>
      </c>
      <c r="B54" s="1078"/>
      <c r="C54" s="1078"/>
      <c r="D54" s="1078"/>
      <c r="E54" s="1078"/>
      <c r="F54" s="1079"/>
      <c r="G54" s="675"/>
      <c r="H54" s="671"/>
      <c r="I54" s="671"/>
      <c r="J54" s="671"/>
      <c r="K54" s="671"/>
      <c r="L54" s="671"/>
      <c r="M54" s="671"/>
      <c r="N54" s="673"/>
    </row>
    <row r="55" spans="1:14" s="293" customFormat="1">
      <c r="A55" s="688"/>
      <c r="B55" s="689"/>
      <c r="C55" s="689"/>
      <c r="D55" s="689"/>
      <c r="E55" s="689"/>
      <c r="F55" s="689"/>
      <c r="G55" s="675"/>
      <c r="H55" s="671"/>
      <c r="I55" s="671"/>
      <c r="J55" s="671"/>
      <c r="K55" s="671"/>
      <c r="L55" s="671"/>
      <c r="M55" s="671"/>
      <c r="N55" s="673"/>
    </row>
    <row r="56" spans="1:14" s="293" customFormat="1">
      <c r="A56" s="690" t="s">
        <v>262</v>
      </c>
      <c r="B56" s="680"/>
      <c r="C56" s="725"/>
      <c r="D56" s="680"/>
      <c r="E56" s="680"/>
      <c r="F56" s="680"/>
      <c r="G56" s="675"/>
      <c r="H56" s="671"/>
      <c r="I56" s="671"/>
      <c r="J56" s="671"/>
      <c r="K56" s="671"/>
      <c r="L56" s="671"/>
      <c r="M56" s="671"/>
      <c r="N56" s="673"/>
    </row>
    <row r="57" spans="1:14" s="293" customFormat="1" ht="49" customHeight="1">
      <c r="A57" s="1077" t="s">
        <v>782</v>
      </c>
      <c r="B57" s="1078"/>
      <c r="C57" s="1078"/>
      <c r="D57" s="1078"/>
      <c r="E57" s="1078"/>
      <c r="F57" s="1079"/>
      <c r="G57" s="675"/>
      <c r="H57" s="671"/>
      <c r="I57" s="671"/>
      <c r="J57" s="671"/>
      <c r="K57" s="671"/>
      <c r="L57" s="671"/>
      <c r="M57" s="671"/>
      <c r="N57" s="673"/>
    </row>
    <row r="58" spans="1:14" s="293" customFormat="1">
      <c r="A58" s="686"/>
      <c r="B58" s="680"/>
      <c r="C58" s="725"/>
      <c r="D58" s="680"/>
      <c r="E58" s="680"/>
      <c r="F58" s="680"/>
      <c r="G58" s="675"/>
      <c r="H58" s="671"/>
      <c r="I58" s="671"/>
      <c r="J58" s="671"/>
      <c r="K58" s="671"/>
      <c r="L58" s="671"/>
      <c r="M58" s="671"/>
      <c r="N58" s="673"/>
    </row>
    <row r="59" spans="1:14" s="293" customFormat="1">
      <c r="A59" s="1000" t="s">
        <v>1020</v>
      </c>
      <c r="B59" s="1001"/>
      <c r="C59" s="1001"/>
      <c r="D59" s="1001"/>
      <c r="E59" s="1001"/>
      <c r="F59" s="1001"/>
      <c r="G59" s="675"/>
      <c r="H59" s="671"/>
      <c r="I59" s="671"/>
      <c r="J59" s="671"/>
      <c r="K59" s="671"/>
      <c r="L59" s="671"/>
      <c r="M59" s="671"/>
      <c r="N59" s="673"/>
    </row>
    <row r="60" spans="1:14" s="293" customFormat="1">
      <c r="A60" s="1005" t="s">
        <v>1021</v>
      </c>
      <c r="B60" s="1006"/>
      <c r="C60" s="1006"/>
      <c r="D60" s="1006"/>
      <c r="E60" s="1006"/>
      <c r="F60" s="1006"/>
      <c r="G60" s="675"/>
      <c r="H60" s="671"/>
      <c r="I60" s="671"/>
      <c r="J60" s="671"/>
      <c r="K60" s="671"/>
      <c r="L60" s="671"/>
      <c r="M60" s="671"/>
      <c r="N60" s="673"/>
    </row>
    <row r="61" spans="1:14" s="293" customFormat="1" ht="58.5" customHeight="1">
      <c r="A61" s="1077" t="s">
        <v>1101</v>
      </c>
      <c r="B61" s="1078"/>
      <c r="C61" s="1078"/>
      <c r="D61" s="1078"/>
      <c r="E61" s="1078"/>
      <c r="F61" s="1079"/>
      <c r="G61" s="675"/>
      <c r="H61" s="671"/>
      <c r="I61" s="671"/>
      <c r="J61" s="671"/>
      <c r="K61" s="671"/>
      <c r="L61" s="671"/>
      <c r="M61" s="671"/>
      <c r="N61" s="673"/>
    </row>
    <row r="62" spans="1:14" s="293" customFormat="1">
      <c r="A62" s="690"/>
      <c r="B62" s="680"/>
      <c r="C62" s="725"/>
      <c r="D62" s="680"/>
      <c r="E62" s="680"/>
      <c r="F62" s="680"/>
      <c r="G62" s="675"/>
      <c r="H62" s="671"/>
      <c r="I62" s="671"/>
      <c r="J62" s="671"/>
      <c r="K62" s="671"/>
      <c r="L62" s="671"/>
      <c r="M62" s="671"/>
      <c r="N62" s="673"/>
    </row>
    <row r="63" spans="1:14" s="293" customFormat="1">
      <c r="A63" s="1000" t="s">
        <v>264</v>
      </c>
      <c r="B63" s="1001"/>
      <c r="C63" s="1001"/>
      <c r="D63" s="1001"/>
      <c r="E63" s="1001"/>
      <c r="F63" s="680"/>
      <c r="G63" s="675"/>
      <c r="H63" s="671"/>
      <c r="I63" s="671"/>
      <c r="J63" s="671"/>
      <c r="K63" s="671"/>
      <c r="L63" s="671"/>
      <c r="M63" s="671"/>
      <c r="N63" s="673"/>
    </row>
    <row r="64" spans="1:14" s="293" customFormat="1" ht="30.15" customHeight="1">
      <c r="A64" s="1007" t="s">
        <v>711</v>
      </c>
      <c r="B64" s="1008"/>
      <c r="C64" s="1008"/>
      <c r="D64" s="1008"/>
      <c r="E64" s="1008"/>
      <c r="F64" s="1009"/>
      <c r="G64" s="675"/>
      <c r="H64" s="671"/>
      <c r="I64" s="671"/>
      <c r="J64" s="671"/>
      <c r="K64" s="671"/>
      <c r="L64" s="671"/>
      <c r="M64" s="671"/>
      <c r="N64" s="673"/>
    </row>
    <row r="65" spans="1:14" s="293" customFormat="1">
      <c r="A65" s="686"/>
      <c r="B65" s="680"/>
      <c r="C65" s="725"/>
      <c r="D65" s="680"/>
      <c r="E65" s="680"/>
      <c r="F65" s="680"/>
      <c r="G65" s="675"/>
      <c r="H65" s="671"/>
      <c r="I65" s="671"/>
      <c r="J65" s="671"/>
      <c r="K65" s="671"/>
      <c r="L65" s="671"/>
      <c r="M65" s="671"/>
      <c r="N65" s="673"/>
    </row>
    <row r="66" spans="1:14" s="293" customFormat="1">
      <c r="A66" s="690" t="s">
        <v>265</v>
      </c>
      <c r="B66" s="680"/>
      <c r="C66" s="725"/>
      <c r="D66" s="680"/>
      <c r="E66" s="680"/>
      <c r="F66" s="680"/>
      <c r="G66" s="675"/>
      <c r="H66" s="671"/>
      <c r="I66" s="671"/>
      <c r="J66" s="671"/>
      <c r="K66" s="671"/>
      <c r="L66" s="671"/>
      <c r="M66" s="671"/>
      <c r="N66" s="673"/>
    </row>
    <row r="67" spans="1:14" s="293" customFormat="1">
      <c r="A67" s="691" t="s">
        <v>266</v>
      </c>
      <c r="B67" s="680"/>
      <c r="C67" s="725"/>
      <c r="D67" s="680"/>
      <c r="E67" s="680"/>
      <c r="F67" s="680"/>
      <c r="G67" s="675"/>
      <c r="H67" s="671"/>
      <c r="I67" s="671"/>
      <c r="J67" s="671"/>
      <c r="K67" s="671"/>
      <c r="L67" s="671"/>
      <c r="M67" s="671"/>
      <c r="N67" s="673"/>
    </row>
    <row r="68" spans="1:14" s="293" customFormat="1" ht="26.25" customHeight="1">
      <c r="A68" s="892" t="s">
        <v>1030</v>
      </c>
      <c r="B68" s="893"/>
      <c r="C68" s="893"/>
      <c r="D68" s="893"/>
      <c r="E68" s="893"/>
      <c r="F68" s="893"/>
      <c r="G68" s="675"/>
      <c r="H68" s="671"/>
      <c r="I68" s="671"/>
      <c r="J68" s="671"/>
      <c r="K68" s="671"/>
      <c r="L68" s="671"/>
      <c r="M68" s="671"/>
      <c r="N68" s="673"/>
    </row>
    <row r="69" spans="1:14" s="293" customFormat="1" ht="61.5" customHeight="1">
      <c r="A69" s="1077" t="s">
        <v>1102</v>
      </c>
      <c r="B69" s="1078"/>
      <c r="C69" s="1078"/>
      <c r="D69" s="1078"/>
      <c r="E69" s="1078"/>
      <c r="F69" s="1079"/>
      <c r="G69" s="675"/>
      <c r="H69" s="671"/>
      <c r="I69" s="671"/>
      <c r="J69" s="671"/>
      <c r="K69" s="671"/>
      <c r="L69" s="671"/>
      <c r="M69" s="671"/>
      <c r="N69" s="673"/>
    </row>
    <row r="70" spans="1:14" s="293" customFormat="1">
      <c r="A70" s="1012"/>
      <c r="B70" s="1013"/>
      <c r="C70" s="1013"/>
      <c r="D70" s="1013"/>
      <c r="E70" s="1013"/>
      <c r="F70" s="1013"/>
      <c r="G70" s="675"/>
      <c r="H70" s="671"/>
      <c r="I70" s="671"/>
      <c r="J70" s="671"/>
      <c r="K70" s="671"/>
      <c r="L70" s="671"/>
      <c r="M70" s="671"/>
      <c r="N70" s="673"/>
    </row>
    <row r="71" spans="1:14" s="293" customFormat="1">
      <c r="A71" s="691" t="s">
        <v>268</v>
      </c>
      <c r="B71" s="680"/>
      <c r="C71" s="725"/>
      <c r="D71" s="680"/>
      <c r="E71" s="680"/>
      <c r="F71" s="680"/>
      <c r="G71" s="675"/>
      <c r="H71" s="671"/>
      <c r="I71" s="671"/>
      <c r="J71" s="671"/>
      <c r="K71" s="671"/>
      <c r="L71" s="671"/>
      <c r="M71" s="671"/>
      <c r="N71" s="673"/>
    </row>
    <row r="72" spans="1:14" s="293" customFormat="1" ht="24.75" customHeight="1">
      <c r="A72" s="896" t="s">
        <v>269</v>
      </c>
      <c r="B72" s="897"/>
      <c r="C72" s="897"/>
      <c r="D72" s="897"/>
      <c r="E72" s="897"/>
      <c r="F72" s="897"/>
      <c r="G72" s="675"/>
      <c r="H72" s="671"/>
      <c r="I72" s="671"/>
      <c r="J72" s="671"/>
      <c r="K72" s="671"/>
      <c r="L72" s="671"/>
      <c r="M72" s="671"/>
      <c r="N72" s="673"/>
    </row>
    <row r="73" spans="1:14" s="293" customFormat="1" ht="29.5" customHeight="1">
      <c r="A73" s="1002" t="s">
        <v>452</v>
      </c>
      <c r="B73" s="1003"/>
      <c r="C73" s="1003"/>
      <c r="D73" s="1003"/>
      <c r="E73" s="1003"/>
      <c r="F73" s="1004"/>
      <c r="G73" s="675"/>
      <c r="H73" s="671"/>
      <c r="I73" s="671"/>
      <c r="J73" s="671"/>
      <c r="K73" s="671"/>
      <c r="L73" s="671"/>
      <c r="M73" s="671"/>
      <c r="N73" s="673"/>
    </row>
    <row r="74" spans="1:14" s="293" customFormat="1" ht="15" thickBot="1">
      <c r="A74" s="692"/>
      <c r="B74" s="693"/>
      <c r="C74" s="694"/>
      <c r="D74" s="693"/>
      <c r="E74" s="693"/>
      <c r="F74" s="693"/>
      <c r="G74" s="695"/>
      <c r="H74" s="671"/>
      <c r="I74" s="671"/>
      <c r="J74" s="671"/>
      <c r="K74" s="671"/>
      <c r="L74" s="671"/>
      <c r="M74" s="671"/>
      <c r="N74" s="673"/>
    </row>
    <row r="75" spans="1:14" s="293" customFormat="1">
      <c r="A75" s="671"/>
      <c r="B75" s="671"/>
      <c r="C75" s="672"/>
      <c r="D75" s="671"/>
      <c r="E75" s="671"/>
      <c r="F75" s="671"/>
      <c r="G75" s="671"/>
      <c r="H75" s="671"/>
      <c r="I75" s="671"/>
      <c r="J75" s="671"/>
      <c r="K75" s="671"/>
      <c r="L75" s="671"/>
      <c r="M75" s="671"/>
      <c r="N75" s="673"/>
    </row>
    <row r="76" spans="1:14" s="293" customFormat="1">
      <c r="A76" s="671"/>
      <c r="B76" s="671"/>
      <c r="C76" s="768"/>
      <c r="D76" s="671"/>
      <c r="E76" s="1081" t="s">
        <v>854</v>
      </c>
      <c r="F76" s="1081"/>
      <c r="G76" s="1081"/>
      <c r="H76" s="1081"/>
      <c r="I76" s="1081"/>
      <c r="J76" s="1081"/>
      <c r="K76" s="1081"/>
      <c r="L76" s="1081"/>
      <c r="M76" s="671"/>
      <c r="N76" s="673"/>
    </row>
    <row r="77" spans="1:14" s="293" customFormat="1">
      <c r="A77" s="671"/>
      <c r="B77" s="671"/>
      <c r="C77" s="768"/>
      <c r="D77" s="671"/>
      <c r="E77" s="671"/>
      <c r="F77" s="1081" t="s">
        <v>855</v>
      </c>
      <c r="G77" s="1081"/>
      <c r="H77" s="1081" t="s">
        <v>856</v>
      </c>
      <c r="I77" s="1081"/>
      <c r="J77" s="1081" t="s">
        <v>857</v>
      </c>
      <c r="K77" s="1081"/>
      <c r="L77" s="1081"/>
      <c r="M77" s="671"/>
      <c r="N77" s="673"/>
    </row>
    <row r="78" spans="1:14" s="293" customFormat="1" ht="30">
      <c r="A78" s="671"/>
      <c r="B78" s="671"/>
      <c r="C78" s="768"/>
      <c r="D78" s="671"/>
      <c r="E78" s="730" t="s">
        <v>858</v>
      </c>
      <c r="F78" s="1080">
        <v>18000</v>
      </c>
      <c r="G78" s="1080"/>
      <c r="H78" s="1080">
        <v>22000</v>
      </c>
      <c r="I78" s="1080"/>
      <c r="J78" s="1080">
        <f t="shared" ref="J78:J83" si="6">SUM(F78:I78)</f>
        <v>40000</v>
      </c>
      <c r="K78" s="1081"/>
      <c r="L78" s="1081"/>
      <c r="M78" s="671"/>
      <c r="N78" s="673"/>
    </row>
    <row r="79" spans="1:14" s="293" customFormat="1">
      <c r="A79" s="671"/>
      <c r="B79" s="671"/>
      <c r="C79" s="768"/>
      <c r="D79" s="671"/>
      <c r="E79" s="671" t="s">
        <v>859</v>
      </c>
      <c r="F79" s="1080">
        <v>7000</v>
      </c>
      <c r="G79" s="1080"/>
      <c r="H79" s="1080">
        <v>9000</v>
      </c>
      <c r="I79" s="1080"/>
      <c r="J79" s="1080">
        <f t="shared" si="6"/>
        <v>16000</v>
      </c>
      <c r="K79" s="1081"/>
      <c r="L79" s="1081"/>
      <c r="M79" s="671"/>
      <c r="N79" s="673"/>
    </row>
    <row r="80" spans="1:14" s="293" customFormat="1" ht="30">
      <c r="A80" s="671"/>
      <c r="B80" s="671"/>
      <c r="C80" s="768"/>
      <c r="D80" s="671"/>
      <c r="E80" s="730" t="s">
        <v>860</v>
      </c>
      <c r="F80" s="1080"/>
      <c r="G80" s="1080"/>
      <c r="H80" s="1080">
        <v>41000</v>
      </c>
      <c r="I80" s="1080"/>
      <c r="J80" s="1080">
        <f t="shared" si="6"/>
        <v>41000</v>
      </c>
      <c r="K80" s="1081"/>
      <c r="L80" s="1081"/>
      <c r="M80" s="671"/>
      <c r="N80" s="673"/>
    </row>
    <row r="81" spans="1:14" s="293" customFormat="1" ht="20">
      <c r="A81" s="671"/>
      <c r="B81" s="671"/>
      <c r="C81" s="768"/>
      <c r="D81" s="671"/>
      <c r="E81" s="730" t="s">
        <v>861</v>
      </c>
      <c r="F81" s="1080">
        <v>58000</v>
      </c>
      <c r="G81" s="1080"/>
      <c r="H81" s="1080"/>
      <c r="I81" s="1080"/>
      <c r="J81" s="1080">
        <f t="shared" si="6"/>
        <v>58000</v>
      </c>
      <c r="K81" s="1081"/>
      <c r="L81" s="1081"/>
      <c r="M81" s="671"/>
      <c r="N81" s="673"/>
    </row>
    <row r="82" spans="1:14" s="293" customFormat="1" ht="30">
      <c r="A82" s="671"/>
      <c r="B82" s="671"/>
      <c r="C82" s="768"/>
      <c r="D82" s="671"/>
      <c r="E82" s="730" t="s">
        <v>862</v>
      </c>
      <c r="F82" s="1080"/>
      <c r="G82" s="1080"/>
      <c r="H82" s="1080">
        <v>151000</v>
      </c>
      <c r="I82" s="1080"/>
      <c r="J82" s="1080">
        <f t="shared" si="6"/>
        <v>151000</v>
      </c>
      <c r="K82" s="1081"/>
      <c r="L82" s="1081"/>
      <c r="M82" s="671"/>
      <c r="N82" s="673"/>
    </row>
    <row r="83" spans="1:14" s="293" customFormat="1">
      <c r="A83" s="671"/>
      <c r="B83" s="671"/>
      <c r="C83" s="768"/>
      <c r="D83" s="671"/>
      <c r="E83" s="671" t="s">
        <v>5</v>
      </c>
      <c r="F83" s="1080">
        <f>SUM(F78:G82)</f>
        <v>83000</v>
      </c>
      <c r="G83" s="1080"/>
      <c r="H83" s="1080">
        <f>SUM(H78:I82)</f>
        <v>223000</v>
      </c>
      <c r="I83" s="1080"/>
      <c r="J83" s="1080">
        <f t="shared" si="6"/>
        <v>306000</v>
      </c>
      <c r="K83" s="1081"/>
      <c r="L83" s="1081"/>
      <c r="M83" s="671"/>
      <c r="N83" s="673"/>
    </row>
    <row r="84" spans="1:14" s="293" customFormat="1">
      <c r="A84" s="671"/>
      <c r="B84" s="671"/>
      <c r="C84" s="768"/>
      <c r="D84" s="671"/>
      <c r="E84" s="671"/>
      <c r="F84" s="671"/>
      <c r="G84" s="671"/>
      <c r="H84" s="671"/>
      <c r="I84" s="671"/>
      <c r="J84" s="671"/>
      <c r="K84" s="671"/>
      <c r="L84" s="671"/>
      <c r="M84" s="671"/>
      <c r="N84" s="673"/>
    </row>
    <row r="85" spans="1:14" s="293" customFormat="1">
      <c r="A85" s="671"/>
      <c r="B85" s="671"/>
      <c r="C85" s="768"/>
      <c r="D85" s="671"/>
      <c r="E85" s="671"/>
      <c r="F85" s="671"/>
      <c r="G85" s="671"/>
      <c r="H85" s="671"/>
      <c r="I85" s="671"/>
      <c r="J85" s="671"/>
      <c r="K85" s="671"/>
      <c r="L85" s="671"/>
      <c r="M85" s="671"/>
      <c r="N85" s="673"/>
    </row>
    <row r="86" spans="1:14" s="293" customFormat="1">
      <c r="A86" s="671"/>
      <c r="B86" s="671"/>
      <c r="C86" s="768"/>
      <c r="D86" s="671"/>
      <c r="E86" s="671"/>
      <c r="F86" s="671"/>
      <c r="G86" s="671"/>
      <c r="H86" s="671"/>
      <c r="I86" s="671"/>
      <c r="J86" s="671"/>
      <c r="K86" s="671"/>
      <c r="L86" s="671"/>
      <c r="M86" s="671"/>
      <c r="N86" s="673"/>
    </row>
    <row r="87" spans="1:14" s="293" customFormat="1">
      <c r="A87" s="671"/>
      <c r="B87" s="671"/>
      <c r="C87" s="768"/>
      <c r="D87" s="671"/>
      <c r="E87" s="671"/>
      <c r="F87" s="671"/>
      <c r="G87" s="671"/>
      <c r="H87" s="671"/>
      <c r="I87" s="671"/>
      <c r="J87" s="671"/>
      <c r="K87" s="671"/>
      <c r="L87" s="671"/>
      <c r="M87" s="671"/>
      <c r="N87" s="673"/>
    </row>
    <row r="88" spans="1:14" s="293" customFormat="1">
      <c r="A88" s="671"/>
      <c r="B88" s="671"/>
      <c r="C88" s="768"/>
      <c r="D88" s="671"/>
      <c r="E88" s="671"/>
      <c r="F88" s="671"/>
      <c r="G88" s="671"/>
      <c r="H88" s="671"/>
      <c r="I88" s="671"/>
      <c r="J88" s="671"/>
      <c r="K88" s="671"/>
      <c r="L88" s="671"/>
      <c r="M88" s="671"/>
      <c r="N88" s="673"/>
    </row>
    <row r="89" spans="1:14" s="293" customFormat="1">
      <c r="A89" s="671"/>
      <c r="B89" s="671"/>
      <c r="C89" s="768"/>
      <c r="D89" s="671"/>
      <c r="E89" s="671"/>
      <c r="F89" s="671"/>
      <c r="G89" s="671"/>
      <c r="H89" s="671"/>
      <c r="I89" s="671"/>
      <c r="J89" s="671"/>
      <c r="K89" s="671"/>
      <c r="L89" s="671"/>
      <c r="M89" s="671"/>
      <c r="N89" s="673"/>
    </row>
    <row r="90" spans="1:14" s="293" customFormat="1">
      <c r="A90" s="671"/>
      <c r="B90" s="671"/>
      <c r="C90" s="768"/>
      <c r="D90" s="671"/>
      <c r="E90" s="671"/>
      <c r="F90" s="671"/>
      <c r="G90" s="671"/>
      <c r="H90" s="671"/>
      <c r="I90" s="671"/>
      <c r="J90" s="671"/>
      <c r="K90" s="671"/>
      <c r="L90" s="671"/>
      <c r="M90" s="671"/>
      <c r="N90" s="673"/>
    </row>
    <row r="91" spans="1:14" s="293" customFormat="1">
      <c r="A91" s="671"/>
      <c r="B91" s="671"/>
      <c r="C91" s="768"/>
      <c r="D91" s="671"/>
      <c r="E91" s="671"/>
      <c r="F91" s="671"/>
      <c r="G91" s="671"/>
      <c r="H91" s="671"/>
      <c r="I91" s="671"/>
      <c r="J91" s="671"/>
      <c r="K91" s="671"/>
      <c r="L91" s="671"/>
      <c r="M91" s="671"/>
      <c r="N91" s="673"/>
    </row>
    <row r="92" spans="1:14" s="293" customFormat="1">
      <c r="A92" s="671"/>
      <c r="B92" s="671"/>
      <c r="C92" s="768"/>
      <c r="D92" s="671"/>
      <c r="E92" s="671"/>
      <c r="F92" s="671"/>
      <c r="G92" s="671"/>
      <c r="H92" s="671"/>
      <c r="I92" s="671"/>
      <c r="J92" s="671"/>
      <c r="K92" s="671"/>
      <c r="L92" s="671"/>
      <c r="M92" s="671"/>
      <c r="N92" s="673"/>
    </row>
    <row r="93" spans="1:14" s="293" customFormat="1">
      <c r="A93" s="671"/>
      <c r="B93" s="671"/>
      <c r="C93" s="768"/>
      <c r="D93" s="671"/>
      <c r="E93" s="671"/>
      <c r="F93" s="671"/>
      <c r="G93" s="671"/>
      <c r="H93" s="671"/>
      <c r="I93" s="671"/>
      <c r="J93" s="671"/>
      <c r="K93" s="671"/>
      <c r="L93" s="671"/>
      <c r="M93" s="671"/>
      <c r="N93" s="673"/>
    </row>
    <row r="94" spans="1:14" s="293" customFormat="1">
      <c r="C94" s="696"/>
      <c r="N94" s="697"/>
    </row>
  </sheetData>
  <mergeCells count="39">
    <mergeCell ref="A72:F72"/>
    <mergeCell ref="A73:F73"/>
    <mergeCell ref="A63:E63"/>
    <mergeCell ref="A64:F64"/>
    <mergeCell ref="A68:F68"/>
    <mergeCell ref="A69:F69"/>
    <mergeCell ref="A70:F70"/>
    <mergeCell ref="A54:F54"/>
    <mergeCell ref="A57:F57"/>
    <mergeCell ref="A59:F59"/>
    <mergeCell ref="A60:F60"/>
    <mergeCell ref="A61:F61"/>
    <mergeCell ref="A1:N1"/>
    <mergeCell ref="A45:F45"/>
    <mergeCell ref="A46:F46"/>
    <mergeCell ref="A47:B47"/>
    <mergeCell ref="A53:F53"/>
    <mergeCell ref="E76:L76"/>
    <mergeCell ref="F77:G77"/>
    <mergeCell ref="H77:I77"/>
    <mergeCell ref="J77:L77"/>
    <mergeCell ref="F78:G78"/>
    <mergeCell ref="H78:I78"/>
    <mergeCell ref="J78:L78"/>
    <mergeCell ref="F79:G79"/>
    <mergeCell ref="H79:I79"/>
    <mergeCell ref="J79:L79"/>
    <mergeCell ref="F80:G80"/>
    <mergeCell ref="H80:I80"/>
    <mergeCell ref="J80:L80"/>
    <mergeCell ref="F83:G83"/>
    <mergeCell ref="H83:I83"/>
    <mergeCell ref="J83:L83"/>
    <mergeCell ref="F81:G81"/>
    <mergeCell ref="H81:I81"/>
    <mergeCell ref="J81:L81"/>
    <mergeCell ref="F82:G82"/>
    <mergeCell ref="H82:I82"/>
    <mergeCell ref="J82:L82"/>
  </mergeCells>
  <printOptions horizontalCentered="1"/>
  <pageMargins left="0.2" right="0.2" top="0.75" bottom="0.75" header="0.3" footer="0.3"/>
  <pageSetup scale="73" orientation="landscape"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0DA2-AB00-4985-9BE3-18015D403FD1}">
  <sheetPr>
    <tabColor theme="2" tint="-0.249977111117893"/>
  </sheetPr>
  <dimension ref="A1:N87"/>
  <sheetViews>
    <sheetView workbookViewId="0">
      <selection sqref="A1:N1"/>
    </sheetView>
  </sheetViews>
  <sheetFormatPr defaultColWidth="9.1796875" defaultRowHeight="14.5"/>
  <cols>
    <col min="1" max="1" width="50.81640625" style="370" bestFit="1" customWidth="1"/>
    <col min="2" max="2" width="12.453125" style="370" customWidth="1"/>
    <col min="3" max="3" width="7.7265625" style="717" customWidth="1"/>
    <col min="4" max="4" width="8.7265625" style="370" customWidth="1"/>
    <col min="5" max="5" width="10.7265625" style="370" customWidth="1"/>
    <col min="6" max="6" width="11" style="370" customWidth="1"/>
    <col min="7" max="7" width="9.54296875" style="370" customWidth="1"/>
    <col min="8" max="8" width="8.453125" style="370" customWidth="1"/>
    <col min="9" max="10" width="7.1796875" style="370" customWidth="1"/>
    <col min="11" max="11" width="7.7265625" style="370" customWidth="1"/>
    <col min="12" max="12" width="9.7265625" style="370" customWidth="1"/>
    <col min="13" max="13" width="9.1796875" style="370"/>
    <col min="14" max="14" width="45.81640625" style="718" customWidth="1"/>
    <col min="15" max="15" width="57.453125" style="370" customWidth="1"/>
    <col min="16" max="16384" width="9.1796875" style="370"/>
  </cols>
  <sheetData>
    <row r="1" spans="1:14" ht="15.5">
      <c r="A1" s="854" t="s">
        <v>165</v>
      </c>
      <c r="B1" s="854"/>
      <c r="C1" s="854"/>
      <c r="D1" s="854"/>
      <c r="E1" s="854"/>
      <c r="F1" s="854"/>
      <c r="G1" s="854"/>
      <c r="H1" s="854"/>
      <c r="I1" s="854"/>
      <c r="J1" s="854"/>
      <c r="K1" s="854"/>
      <c r="L1" s="854"/>
      <c r="M1" s="854"/>
      <c r="N1" s="854"/>
    </row>
    <row r="2" spans="1:14" ht="26">
      <c r="A2" s="702" t="s">
        <v>825</v>
      </c>
      <c r="D2" s="29"/>
      <c r="E2" s="29"/>
      <c r="F2" s="29"/>
      <c r="G2" s="29"/>
    </row>
    <row r="3" spans="1:14">
      <c r="A3" s="506" t="s">
        <v>826</v>
      </c>
      <c r="F3" s="451" t="s">
        <v>210</v>
      </c>
    </row>
    <row r="4" spans="1:14">
      <c r="A4" s="506" t="s">
        <v>562</v>
      </c>
      <c r="B4" s="31"/>
      <c r="C4" s="32"/>
      <c r="D4" s="31"/>
      <c r="E4" s="31"/>
    </row>
    <row r="5" spans="1:14" ht="29">
      <c r="A5" s="33"/>
      <c r="B5" s="33" t="s">
        <v>212</v>
      </c>
      <c r="C5" s="1" t="s">
        <v>213</v>
      </c>
      <c r="D5" s="2" t="s">
        <v>273</v>
      </c>
      <c r="E5" s="34" t="s">
        <v>734</v>
      </c>
      <c r="F5" s="35" t="s">
        <v>1008</v>
      </c>
      <c r="G5" s="35" t="s">
        <v>0</v>
      </c>
      <c r="H5" s="35" t="s">
        <v>1</v>
      </c>
      <c r="I5" s="35" t="s">
        <v>2</v>
      </c>
      <c r="J5" s="35" t="s">
        <v>3</v>
      </c>
      <c r="K5" s="35" t="s">
        <v>4</v>
      </c>
      <c r="L5" s="35" t="s">
        <v>26</v>
      </c>
      <c r="M5" s="2" t="s">
        <v>214</v>
      </c>
      <c r="N5" s="35" t="s">
        <v>523</v>
      </c>
    </row>
    <row r="6" spans="1:14">
      <c r="A6" s="125" t="s">
        <v>216</v>
      </c>
      <c r="B6" s="126"/>
      <c r="C6" s="127"/>
      <c r="D6" s="126"/>
      <c r="E6" s="126"/>
      <c r="F6" s="87"/>
      <c r="G6" s="87"/>
      <c r="H6" s="87"/>
      <c r="I6" s="87"/>
      <c r="J6" s="87"/>
      <c r="K6" s="87"/>
      <c r="L6" s="87"/>
      <c r="M6" s="87"/>
      <c r="N6" s="128"/>
    </row>
    <row r="7" spans="1:14">
      <c r="A7" s="57" t="s">
        <v>382</v>
      </c>
      <c r="B7" s="57"/>
      <c r="C7" s="607" t="s">
        <v>218</v>
      </c>
      <c r="D7" s="38"/>
      <c r="E7" s="258">
        <v>0</v>
      </c>
      <c r="F7" s="303">
        <f>SUM(G7:M7)</f>
        <v>0</v>
      </c>
      <c r="G7" s="304">
        <v>0</v>
      </c>
      <c r="H7" s="304">
        <v>0</v>
      </c>
      <c r="I7" s="304">
        <v>0</v>
      </c>
      <c r="J7" s="304">
        <v>0</v>
      </c>
      <c r="K7" s="304">
        <v>0</v>
      </c>
      <c r="L7" s="304">
        <v>0</v>
      </c>
      <c r="M7" s="305">
        <v>0</v>
      </c>
      <c r="N7" s="318"/>
    </row>
    <row r="8" spans="1:14">
      <c r="A8" s="57" t="s">
        <v>382</v>
      </c>
      <c r="B8" s="57"/>
      <c r="C8" s="607" t="s">
        <v>218</v>
      </c>
      <c r="D8" s="39"/>
      <c r="E8" s="258">
        <v>0</v>
      </c>
      <c r="F8" s="303">
        <f t="shared" ref="F8:F12" si="0">SUM(G8:M8)</f>
        <v>0</v>
      </c>
      <c r="G8" s="304">
        <v>0</v>
      </c>
      <c r="H8" s="304">
        <v>0</v>
      </c>
      <c r="I8" s="304">
        <v>0</v>
      </c>
      <c r="J8" s="304">
        <v>0</v>
      </c>
      <c r="K8" s="304">
        <v>0</v>
      </c>
      <c r="L8" s="304">
        <v>0</v>
      </c>
      <c r="M8" s="305">
        <v>0</v>
      </c>
      <c r="N8" s="318"/>
    </row>
    <row r="9" spans="1:14">
      <c r="A9" s="57" t="s">
        <v>382</v>
      </c>
      <c r="B9" s="530"/>
      <c r="C9" s="607" t="s">
        <v>218</v>
      </c>
      <c r="D9" s="39"/>
      <c r="E9" s="258">
        <v>0</v>
      </c>
      <c r="F9" s="303">
        <f t="shared" si="0"/>
        <v>0</v>
      </c>
      <c r="G9" s="304">
        <v>0</v>
      </c>
      <c r="H9" s="304">
        <v>0</v>
      </c>
      <c r="I9" s="304">
        <v>0</v>
      </c>
      <c r="J9" s="304">
        <v>0</v>
      </c>
      <c r="K9" s="304">
        <v>0</v>
      </c>
      <c r="L9" s="304">
        <v>0</v>
      </c>
      <c r="M9" s="305">
        <v>0</v>
      </c>
      <c r="N9" s="318"/>
    </row>
    <row r="10" spans="1:14">
      <c r="A10" s="57" t="s">
        <v>382</v>
      </c>
      <c r="B10" s="530"/>
      <c r="C10" s="607" t="s">
        <v>218</v>
      </c>
      <c r="D10" s="39"/>
      <c r="E10" s="258">
        <v>0</v>
      </c>
      <c r="F10" s="303">
        <f t="shared" si="0"/>
        <v>0</v>
      </c>
      <c r="G10" s="304"/>
      <c r="H10" s="304"/>
      <c r="I10" s="304"/>
      <c r="J10" s="304"/>
      <c r="K10" s="304">
        <v>0</v>
      </c>
      <c r="L10" s="304">
        <f>SUM(44-44)</f>
        <v>0</v>
      </c>
      <c r="M10" s="305"/>
      <c r="N10" s="318"/>
    </row>
    <row r="11" spans="1:14">
      <c r="A11" s="57" t="s">
        <v>382</v>
      </c>
      <c r="B11" s="601"/>
      <c r="C11" s="607"/>
      <c r="D11" s="39"/>
      <c r="E11" s="258">
        <v>0</v>
      </c>
      <c r="F11" s="303">
        <f t="shared" si="0"/>
        <v>0</v>
      </c>
      <c r="G11" s="304"/>
      <c r="H11" s="304"/>
      <c r="I11" s="304"/>
      <c r="J11" s="304"/>
      <c r="K11" s="304">
        <v>0</v>
      </c>
      <c r="L11" s="304"/>
      <c r="M11" s="305"/>
      <c r="N11" s="318"/>
    </row>
    <row r="12" spans="1:14">
      <c r="A12" s="57" t="s">
        <v>382</v>
      </c>
      <c r="B12" s="601"/>
      <c r="C12" s="607" t="s">
        <v>218</v>
      </c>
      <c r="D12" s="39">
        <v>0</v>
      </c>
      <c r="E12" s="258">
        <v>0</v>
      </c>
      <c r="F12" s="303">
        <f t="shared" si="0"/>
        <v>0</v>
      </c>
      <c r="G12" s="304">
        <v>0</v>
      </c>
      <c r="H12" s="304">
        <v>0</v>
      </c>
      <c r="I12" s="304">
        <v>0</v>
      </c>
      <c r="J12" s="304">
        <v>0</v>
      </c>
      <c r="K12" s="304">
        <v>0</v>
      </c>
      <c r="L12" s="304">
        <v>0</v>
      </c>
      <c r="M12" s="305">
        <v>0</v>
      </c>
      <c r="N12" s="318"/>
    </row>
    <row r="13" spans="1:14">
      <c r="A13" s="622" t="s">
        <v>219</v>
      </c>
      <c r="B13" s="601"/>
      <c r="C13" s="621"/>
      <c r="D13" s="41">
        <f>SUM(D7:D12)</f>
        <v>0</v>
      </c>
      <c r="E13" s="42">
        <f>SUM(E7:E12)</f>
        <v>0</v>
      </c>
      <c r="F13" s="43">
        <f t="shared" ref="F13:M13" si="1">SUM(F7:F12)</f>
        <v>0</v>
      </c>
      <c r="G13" s="43">
        <f t="shared" si="1"/>
        <v>0</v>
      </c>
      <c r="H13" s="43">
        <f t="shared" si="1"/>
        <v>0</v>
      </c>
      <c r="I13" s="43">
        <f t="shared" si="1"/>
        <v>0</v>
      </c>
      <c r="J13" s="43">
        <f t="shared" si="1"/>
        <v>0</v>
      </c>
      <c r="K13" s="43">
        <f t="shared" si="1"/>
        <v>0</v>
      </c>
      <c r="L13" s="43">
        <f t="shared" si="1"/>
        <v>0</v>
      </c>
      <c r="M13" s="43">
        <f t="shared" si="1"/>
        <v>0</v>
      </c>
      <c r="N13" s="318"/>
    </row>
    <row r="14" spans="1:14">
      <c r="A14" s="125" t="s">
        <v>220</v>
      </c>
      <c r="B14" s="126"/>
      <c r="C14" s="127"/>
      <c r="D14" s="126"/>
      <c r="E14" s="126"/>
      <c r="F14" s="87"/>
      <c r="G14" s="87"/>
      <c r="H14" s="87"/>
      <c r="I14" s="87"/>
      <c r="J14" s="87"/>
      <c r="K14" s="87"/>
      <c r="L14" s="87"/>
      <c r="M14" s="87"/>
      <c r="N14" s="128"/>
    </row>
    <row r="15" spans="1:14" ht="140">
      <c r="A15" s="71" t="s">
        <v>824</v>
      </c>
      <c r="B15" s="259" t="s">
        <v>351</v>
      </c>
      <c r="C15" s="44">
        <v>253</v>
      </c>
      <c r="D15" s="45"/>
      <c r="E15" s="258">
        <v>125</v>
      </c>
      <c r="F15" s="303">
        <f>SUM(G15:M15)</f>
        <v>130</v>
      </c>
      <c r="G15" s="304">
        <v>0</v>
      </c>
      <c r="H15" s="304">
        <v>0</v>
      </c>
      <c r="I15" s="304">
        <v>0</v>
      </c>
      <c r="J15" s="304">
        <v>0</v>
      </c>
      <c r="K15" s="304">
        <v>0</v>
      </c>
      <c r="L15" s="304">
        <v>130</v>
      </c>
      <c r="M15" s="305">
        <v>0</v>
      </c>
      <c r="N15" s="774" t="s">
        <v>1103</v>
      </c>
    </row>
    <row r="16" spans="1:14">
      <c r="A16" s="530" t="s">
        <v>224</v>
      </c>
      <c r="B16" s="530"/>
      <c r="C16" s="597">
        <v>253</v>
      </c>
      <c r="D16" s="45"/>
      <c r="E16" s="258">
        <v>0</v>
      </c>
      <c r="F16" s="303">
        <f t="shared" ref="F16:F18" si="2">SUM(G16:M16)</f>
        <v>0</v>
      </c>
      <c r="G16" s="304">
        <v>0</v>
      </c>
      <c r="H16" s="304">
        <v>0</v>
      </c>
      <c r="I16" s="304">
        <v>0</v>
      </c>
      <c r="J16" s="304">
        <v>0</v>
      </c>
      <c r="K16" s="304">
        <v>0</v>
      </c>
      <c r="L16" s="304">
        <v>0</v>
      </c>
      <c r="M16" s="305">
        <v>0</v>
      </c>
      <c r="N16" s="318"/>
    </row>
    <row r="17" spans="1:14">
      <c r="A17" s="530" t="s">
        <v>296</v>
      </c>
      <c r="B17" s="530"/>
      <c r="C17" s="597">
        <v>253</v>
      </c>
      <c r="D17" s="45"/>
      <c r="E17" s="258">
        <v>0</v>
      </c>
      <c r="F17" s="303">
        <f t="shared" si="2"/>
        <v>0</v>
      </c>
      <c r="G17" s="304">
        <v>0</v>
      </c>
      <c r="H17" s="155"/>
      <c r="I17" s="304">
        <v>0</v>
      </c>
      <c r="J17" s="304">
        <v>0</v>
      </c>
      <c r="K17" s="304">
        <v>0</v>
      </c>
      <c r="L17" s="304">
        <v>0</v>
      </c>
      <c r="M17" s="305">
        <v>0</v>
      </c>
      <c r="N17" s="318"/>
    </row>
    <row r="18" spans="1:14">
      <c r="A18" s="530" t="s">
        <v>224</v>
      </c>
      <c r="B18" s="530"/>
      <c r="C18" s="597">
        <v>253</v>
      </c>
      <c r="D18" s="45"/>
      <c r="E18" s="258">
        <v>0</v>
      </c>
      <c r="F18" s="303">
        <f t="shared" si="2"/>
        <v>0</v>
      </c>
      <c r="G18" s="304">
        <v>0</v>
      </c>
      <c r="H18" s="304">
        <v>0</v>
      </c>
      <c r="I18" s="304">
        <v>0</v>
      </c>
      <c r="J18" s="304">
        <v>0</v>
      </c>
      <c r="K18" s="304">
        <v>0</v>
      </c>
      <c r="L18" s="304">
        <v>0</v>
      </c>
      <c r="M18" s="305">
        <v>0</v>
      </c>
      <c r="N18" s="318"/>
    </row>
    <row r="19" spans="1:14">
      <c r="A19" s="622" t="s">
        <v>225</v>
      </c>
      <c r="B19" s="601"/>
      <c r="C19" s="621"/>
      <c r="D19" s="262">
        <f>SUM(D16:D18)</f>
        <v>0</v>
      </c>
      <c r="E19" s="42">
        <f>SUM(E15:E18)</f>
        <v>125</v>
      </c>
      <c r="F19" s="43">
        <f>SUM(F15:F18)</f>
        <v>130</v>
      </c>
      <c r="G19" s="43">
        <f t="shared" ref="G19:M19" si="3">SUM(G15:G18)</f>
        <v>0</v>
      </c>
      <c r="H19" s="43">
        <f t="shared" si="3"/>
        <v>0</v>
      </c>
      <c r="I19" s="43">
        <f t="shared" si="3"/>
        <v>0</v>
      </c>
      <c r="J19" s="43">
        <f t="shared" si="3"/>
        <v>0</v>
      </c>
      <c r="K19" s="43">
        <f t="shared" si="3"/>
        <v>0</v>
      </c>
      <c r="L19" s="43">
        <f t="shared" si="3"/>
        <v>130</v>
      </c>
      <c r="M19" s="43">
        <f t="shared" si="3"/>
        <v>0</v>
      </c>
      <c r="N19" s="318"/>
    </row>
    <row r="20" spans="1:14">
      <c r="A20" s="125" t="s">
        <v>279</v>
      </c>
      <c r="B20" s="126"/>
      <c r="C20" s="127"/>
      <c r="D20" s="126"/>
      <c r="E20" s="126"/>
      <c r="F20" s="87"/>
      <c r="G20" s="87"/>
      <c r="H20" s="87"/>
      <c r="I20" s="87"/>
      <c r="J20" s="87"/>
      <c r="K20" s="87"/>
      <c r="L20" s="87"/>
      <c r="M20" s="87"/>
      <c r="N20" s="128"/>
    </row>
    <row r="21" spans="1:14">
      <c r="A21" s="530" t="s">
        <v>227</v>
      </c>
      <c r="B21" s="57"/>
      <c r="C21" s="607" t="s">
        <v>228</v>
      </c>
      <c r="D21" s="38">
        <v>0</v>
      </c>
      <c r="E21" s="258">
        <v>0</v>
      </c>
      <c r="F21" s="303">
        <f t="shared" ref="F21:F30" si="4">SUM(G21:M21)</f>
        <v>0</v>
      </c>
      <c r="G21" s="304">
        <v>0</v>
      </c>
      <c r="H21" s="304">
        <v>0</v>
      </c>
      <c r="I21" s="304">
        <v>0</v>
      </c>
      <c r="J21" s="304">
        <v>0</v>
      </c>
      <c r="K21" s="304">
        <v>0</v>
      </c>
      <c r="L21" s="304">
        <v>0</v>
      </c>
      <c r="M21" s="305">
        <v>0</v>
      </c>
      <c r="N21" s="318"/>
    </row>
    <row r="22" spans="1:14">
      <c r="A22" s="530" t="s">
        <v>229</v>
      </c>
      <c r="B22" s="57"/>
      <c r="C22" s="597" t="s">
        <v>230</v>
      </c>
      <c r="D22" s="45"/>
      <c r="E22" s="258">
        <v>0</v>
      </c>
      <c r="F22" s="303">
        <f t="shared" si="4"/>
        <v>0</v>
      </c>
      <c r="G22" s="304">
        <v>0</v>
      </c>
      <c r="H22" s="304">
        <v>0</v>
      </c>
      <c r="I22" s="304">
        <v>0</v>
      </c>
      <c r="J22" s="304">
        <v>0</v>
      </c>
      <c r="K22" s="304">
        <v>0</v>
      </c>
      <c r="L22" s="304">
        <v>0</v>
      </c>
      <c r="M22" s="305">
        <v>0</v>
      </c>
      <c r="N22" s="318"/>
    </row>
    <row r="23" spans="1:14">
      <c r="A23" s="530" t="s">
        <v>231</v>
      </c>
      <c r="B23" s="57"/>
      <c r="C23" s="597" t="s">
        <v>232</v>
      </c>
      <c r="D23" s="45"/>
      <c r="E23" s="258">
        <v>0</v>
      </c>
      <c r="F23" s="303">
        <f t="shared" si="4"/>
        <v>0</v>
      </c>
      <c r="G23" s="304">
        <v>0</v>
      </c>
      <c r="H23" s="304">
        <v>0</v>
      </c>
      <c r="I23" s="304">
        <v>0</v>
      </c>
      <c r="J23" s="304">
        <v>0</v>
      </c>
      <c r="K23" s="304">
        <v>0</v>
      </c>
      <c r="L23" s="304">
        <v>0</v>
      </c>
      <c r="M23" s="305">
        <v>0</v>
      </c>
      <c r="N23" s="318"/>
    </row>
    <row r="24" spans="1:14" ht="15" customHeight="1">
      <c r="A24" s="530" t="s">
        <v>233</v>
      </c>
      <c r="B24" s="57"/>
      <c r="C24" s="597" t="s">
        <v>234</v>
      </c>
      <c r="D24" s="45"/>
      <c r="E24" s="258">
        <v>0</v>
      </c>
      <c r="F24" s="303">
        <f t="shared" si="4"/>
        <v>0</v>
      </c>
      <c r="G24" s="304">
        <v>0</v>
      </c>
      <c r="H24" s="304">
        <v>0</v>
      </c>
      <c r="I24" s="304">
        <v>0</v>
      </c>
      <c r="J24" s="304">
        <v>0</v>
      </c>
      <c r="K24" s="304">
        <v>0</v>
      </c>
      <c r="L24" s="304">
        <v>0</v>
      </c>
      <c r="M24" s="305">
        <v>0</v>
      </c>
      <c r="N24" s="318"/>
    </row>
    <row r="25" spans="1:14">
      <c r="A25" s="530" t="s">
        <v>235</v>
      </c>
      <c r="B25" s="57"/>
      <c r="C25" s="597">
        <v>251</v>
      </c>
      <c r="D25" s="45"/>
      <c r="E25" s="258">
        <v>0</v>
      </c>
      <c r="F25" s="303">
        <f t="shared" si="4"/>
        <v>0</v>
      </c>
      <c r="G25" s="304">
        <v>0</v>
      </c>
      <c r="H25" s="304">
        <v>0</v>
      </c>
      <c r="I25" s="304">
        <v>0</v>
      </c>
      <c r="J25" s="304">
        <v>0</v>
      </c>
      <c r="K25" s="304">
        <v>0</v>
      </c>
      <c r="L25" s="304">
        <v>0</v>
      </c>
      <c r="M25" s="305">
        <v>0</v>
      </c>
      <c r="N25" s="318"/>
    </row>
    <row r="26" spans="1:14">
      <c r="A26" s="530" t="s">
        <v>527</v>
      </c>
      <c r="B26" s="57"/>
      <c r="C26" s="597">
        <v>252</v>
      </c>
      <c r="D26" s="45"/>
      <c r="E26" s="258">
        <v>0</v>
      </c>
      <c r="F26" s="303">
        <f t="shared" si="4"/>
        <v>0</v>
      </c>
      <c r="G26" s="304">
        <v>0</v>
      </c>
      <c r="H26" s="304">
        <v>0</v>
      </c>
      <c r="I26" s="304">
        <v>0</v>
      </c>
      <c r="J26" s="304">
        <v>0</v>
      </c>
      <c r="K26" s="304">
        <v>0</v>
      </c>
      <c r="L26" s="304">
        <f>SUM(150-150)</f>
        <v>0</v>
      </c>
      <c r="M26" s="305">
        <v>0</v>
      </c>
      <c r="N26" s="318"/>
    </row>
    <row r="27" spans="1:14">
      <c r="A27" s="530" t="s">
        <v>243</v>
      </c>
      <c r="B27" s="57"/>
      <c r="C27" s="597">
        <v>252</v>
      </c>
      <c r="D27" s="45"/>
      <c r="E27" s="258">
        <v>0</v>
      </c>
      <c r="F27" s="303">
        <f t="shared" si="4"/>
        <v>0</v>
      </c>
      <c r="G27" s="304">
        <v>0</v>
      </c>
      <c r="H27" s="304">
        <v>0</v>
      </c>
      <c r="I27" s="304">
        <v>0</v>
      </c>
      <c r="J27" s="304">
        <v>0</v>
      </c>
      <c r="K27" s="304">
        <v>0</v>
      </c>
      <c r="L27" s="304">
        <v>0</v>
      </c>
      <c r="M27" s="305">
        <v>0</v>
      </c>
      <c r="N27" s="318"/>
    </row>
    <row r="28" spans="1:14">
      <c r="A28" s="530" t="s">
        <v>246</v>
      </c>
      <c r="B28" s="57"/>
      <c r="C28" s="597">
        <v>256</v>
      </c>
      <c r="D28" s="530"/>
      <c r="E28" s="258">
        <v>0</v>
      </c>
      <c r="F28" s="303">
        <f t="shared" si="4"/>
        <v>0</v>
      </c>
      <c r="G28" s="304">
        <v>0</v>
      </c>
      <c r="H28" s="304">
        <v>0</v>
      </c>
      <c r="I28" s="304">
        <v>0</v>
      </c>
      <c r="J28" s="304">
        <v>0</v>
      </c>
      <c r="K28" s="304">
        <v>0</v>
      </c>
      <c r="L28" s="304">
        <v>0</v>
      </c>
      <c r="M28" s="305">
        <v>0</v>
      </c>
      <c r="N28" s="318"/>
    </row>
    <row r="29" spans="1:14">
      <c r="A29" s="530" t="s">
        <v>247</v>
      </c>
      <c r="B29" s="57"/>
      <c r="C29" s="597">
        <v>257</v>
      </c>
      <c r="D29" s="530"/>
      <c r="E29" s="258">
        <v>0</v>
      </c>
      <c r="F29" s="303">
        <f t="shared" si="4"/>
        <v>0</v>
      </c>
      <c r="G29" s="304">
        <v>0</v>
      </c>
      <c r="H29" s="304">
        <v>0</v>
      </c>
      <c r="I29" s="304">
        <v>0</v>
      </c>
      <c r="J29" s="304">
        <v>0</v>
      </c>
      <c r="K29" s="304">
        <v>0</v>
      </c>
      <c r="L29" s="304">
        <v>0</v>
      </c>
      <c r="M29" s="305">
        <v>0</v>
      </c>
      <c r="N29" s="318"/>
    </row>
    <row r="30" spans="1:14">
      <c r="A30" s="530" t="s">
        <v>248</v>
      </c>
      <c r="B30" s="57"/>
      <c r="C30" s="597" t="s">
        <v>249</v>
      </c>
      <c r="D30" s="530"/>
      <c r="E30" s="258">
        <v>0</v>
      </c>
      <c r="F30" s="303">
        <f t="shared" si="4"/>
        <v>0</v>
      </c>
      <c r="G30" s="304">
        <v>0</v>
      </c>
      <c r="H30" s="304">
        <v>0</v>
      </c>
      <c r="I30" s="304">
        <v>0</v>
      </c>
      <c r="J30" s="304">
        <v>0</v>
      </c>
      <c r="K30" s="304">
        <v>0</v>
      </c>
      <c r="L30" s="304">
        <v>0</v>
      </c>
      <c r="M30" s="305">
        <v>0</v>
      </c>
      <c r="N30" s="318"/>
    </row>
    <row r="31" spans="1:14">
      <c r="A31" s="601" t="s">
        <v>250</v>
      </c>
      <c r="B31" s="57"/>
      <c r="C31" s="621" t="s">
        <v>251</v>
      </c>
      <c r="D31" s="601"/>
      <c r="E31" s="258">
        <v>0</v>
      </c>
      <c r="F31" s="303">
        <f t="shared" ref="F31" si="5">SUM(G31:M31)</f>
        <v>0</v>
      </c>
      <c r="G31" s="304">
        <v>0</v>
      </c>
      <c r="H31" s="304">
        <v>0</v>
      </c>
      <c r="I31" s="304">
        <v>0</v>
      </c>
      <c r="J31" s="304">
        <v>0</v>
      </c>
      <c r="K31" s="304">
        <v>0</v>
      </c>
      <c r="L31" s="304">
        <v>0</v>
      </c>
      <c r="M31" s="305">
        <v>0</v>
      </c>
      <c r="N31" s="318"/>
    </row>
    <row r="32" spans="1:14">
      <c r="A32" s="601" t="s">
        <v>661</v>
      </c>
      <c r="B32" s="628"/>
      <c r="C32" s="621" t="s">
        <v>253</v>
      </c>
      <c r="D32" s="601"/>
      <c r="E32" s="311">
        <v>0</v>
      </c>
      <c r="F32" s="303">
        <f>SUM(G32:M32)</f>
        <v>0</v>
      </c>
      <c r="G32" s="163">
        <v>0</v>
      </c>
      <c r="H32" s="163">
        <v>0</v>
      </c>
      <c r="I32" s="163">
        <v>0</v>
      </c>
      <c r="J32" s="163">
        <v>0</v>
      </c>
      <c r="K32" s="163">
        <v>0</v>
      </c>
      <c r="L32" s="163">
        <f>-125+125</f>
        <v>0</v>
      </c>
      <c r="M32" s="164">
        <v>0</v>
      </c>
      <c r="N32" s="318" t="s">
        <v>951</v>
      </c>
    </row>
    <row r="33" spans="1:14">
      <c r="A33" s="622" t="s">
        <v>254</v>
      </c>
      <c r="B33" s="601"/>
      <c r="C33" s="621"/>
      <c r="D33" s="262"/>
      <c r="E33" s="42">
        <f t="shared" ref="E33:M33" si="6">SUM(E21:E32)</f>
        <v>0</v>
      </c>
      <c r="F33" s="43">
        <f t="shared" si="6"/>
        <v>0</v>
      </c>
      <c r="G33" s="43">
        <f t="shared" si="6"/>
        <v>0</v>
      </c>
      <c r="H33" s="43">
        <f t="shared" si="6"/>
        <v>0</v>
      </c>
      <c r="I33" s="43">
        <f t="shared" si="6"/>
        <v>0</v>
      </c>
      <c r="J33" s="43">
        <f t="shared" si="6"/>
        <v>0</v>
      </c>
      <c r="K33" s="43">
        <f t="shared" si="6"/>
        <v>0</v>
      </c>
      <c r="L33" s="43">
        <f t="shared" si="6"/>
        <v>0</v>
      </c>
      <c r="M33" s="43">
        <f t="shared" si="6"/>
        <v>0</v>
      </c>
      <c r="N33" s="318"/>
    </row>
    <row r="34" spans="1:14">
      <c r="A34" s="622" t="s">
        <v>255</v>
      </c>
      <c r="B34" s="629"/>
      <c r="C34" s="630"/>
      <c r="D34" s="262"/>
      <c r="E34" s="42"/>
      <c r="F34" s="303">
        <f>SUM(G34:M34)</f>
        <v>0</v>
      </c>
      <c r="G34" s="235"/>
      <c r="H34" s="235"/>
      <c r="I34" s="235"/>
      <c r="J34" s="235"/>
      <c r="K34" s="235"/>
      <c r="L34" s="235"/>
      <c r="M34" s="43"/>
      <c r="N34" s="318"/>
    </row>
    <row r="35" spans="1:14">
      <c r="A35" s="622" t="s">
        <v>256</v>
      </c>
      <c r="B35" s="631"/>
      <c r="C35" s="632"/>
      <c r="D35" s="48">
        <f>D33+D19+D13+D34</f>
        <v>0</v>
      </c>
      <c r="E35" s="42">
        <f t="shared" ref="E35:M35" si="7">E33+E19+E13-E34</f>
        <v>125</v>
      </c>
      <c r="F35" s="17">
        <f t="shared" si="7"/>
        <v>130</v>
      </c>
      <c r="G35" s="17">
        <f t="shared" si="7"/>
        <v>0</v>
      </c>
      <c r="H35" s="17">
        <f t="shared" si="7"/>
        <v>0</v>
      </c>
      <c r="I35" s="17">
        <f t="shared" si="7"/>
        <v>0</v>
      </c>
      <c r="J35" s="17">
        <f t="shared" si="7"/>
        <v>0</v>
      </c>
      <c r="K35" s="17">
        <f t="shared" si="7"/>
        <v>0</v>
      </c>
      <c r="L35" s="17">
        <f t="shared" si="7"/>
        <v>130</v>
      </c>
      <c r="M35" s="17">
        <f t="shared" si="7"/>
        <v>0</v>
      </c>
      <c r="N35" s="345"/>
    </row>
    <row r="36" spans="1:14">
      <c r="A36" s="31"/>
      <c r="B36" s="31"/>
      <c r="C36" s="32"/>
      <c r="D36" s="31"/>
      <c r="E36" s="31"/>
      <c r="F36" s="31"/>
      <c r="G36" s="31"/>
      <c r="H36" s="31"/>
      <c r="I36" s="31"/>
      <c r="J36" s="31"/>
      <c r="K36" s="31"/>
      <c r="L36" s="31"/>
      <c r="M36" s="31"/>
      <c r="N36" s="536"/>
    </row>
    <row r="37" spans="1:14">
      <c r="A37" s="31"/>
      <c r="B37" s="31"/>
      <c r="C37" s="32"/>
      <c r="D37" s="31"/>
      <c r="E37" s="31"/>
      <c r="F37" s="31"/>
      <c r="G37" s="31"/>
      <c r="H37" s="31"/>
      <c r="I37" s="31"/>
      <c r="J37" s="31"/>
      <c r="K37" s="31"/>
      <c r="L37" s="31"/>
      <c r="M37" s="31"/>
      <c r="N37" s="536"/>
    </row>
    <row r="38" spans="1:14" ht="15" thickBot="1">
      <c r="A38" s="31"/>
      <c r="B38" s="31"/>
      <c r="C38" s="32"/>
      <c r="D38" s="31"/>
      <c r="E38" s="31"/>
      <c r="F38" s="31"/>
      <c r="G38" s="31"/>
      <c r="H38" s="31"/>
      <c r="I38" s="31"/>
      <c r="J38" s="31"/>
      <c r="K38" s="31"/>
      <c r="L38" s="31"/>
      <c r="M38" s="31"/>
      <c r="N38" s="536"/>
    </row>
    <row r="39" spans="1:14" ht="15.5">
      <c r="A39" s="873" t="s">
        <v>257</v>
      </c>
      <c r="B39" s="874"/>
      <c r="C39" s="874"/>
      <c r="D39" s="874"/>
      <c r="E39" s="874"/>
      <c r="F39" s="874"/>
      <c r="G39" s="550"/>
      <c r="H39" s="31"/>
      <c r="I39" s="31"/>
      <c r="J39" s="31"/>
      <c r="K39" s="31"/>
      <c r="L39" s="31"/>
      <c r="M39" s="31"/>
      <c r="N39" s="536"/>
    </row>
    <row r="40" spans="1:14" ht="15.5">
      <c r="A40" s="875"/>
      <c r="B40" s="876"/>
      <c r="C40" s="876"/>
      <c r="D40" s="876"/>
      <c r="E40" s="876"/>
      <c r="F40" s="876"/>
      <c r="G40" s="551"/>
      <c r="H40" s="31"/>
      <c r="I40" s="31"/>
      <c r="J40" s="31"/>
      <c r="K40" s="31"/>
      <c r="L40" s="31"/>
      <c r="M40" s="31"/>
      <c r="N40" s="536"/>
    </row>
    <row r="41" spans="1:14">
      <c r="A41" s="877" t="s">
        <v>258</v>
      </c>
      <c r="B41" s="878"/>
      <c r="C41" s="552"/>
      <c r="D41" s="552"/>
      <c r="E41" s="552"/>
      <c r="F41" s="552"/>
      <c r="G41" s="551"/>
      <c r="H41" s="31"/>
      <c r="I41" s="31"/>
      <c r="J41" s="31"/>
      <c r="K41" s="31"/>
      <c r="L41" s="31"/>
      <c r="M41" s="31"/>
      <c r="N41" s="536"/>
    </row>
    <row r="42" spans="1:14">
      <c r="A42" s="553" t="s">
        <v>1028</v>
      </c>
      <c r="B42" s="554">
        <f>E35</f>
        <v>125</v>
      </c>
      <c r="C42" s="555"/>
      <c r="D42" s="556"/>
      <c r="E42" s="556"/>
      <c r="F42" s="556"/>
      <c r="G42" s="551"/>
      <c r="H42" s="31"/>
      <c r="I42" s="31"/>
      <c r="J42" s="31"/>
      <c r="K42" s="31"/>
      <c r="L42" s="31"/>
      <c r="M42" s="31"/>
      <c r="N42" s="536"/>
    </row>
    <row r="43" spans="1:14">
      <c r="A43" s="557" t="s">
        <v>1029</v>
      </c>
      <c r="B43" s="558">
        <f>F35</f>
        <v>130</v>
      </c>
      <c r="C43" s="555"/>
      <c r="D43" s="556"/>
      <c r="E43" s="556"/>
      <c r="F43" s="556"/>
      <c r="G43" s="551"/>
      <c r="H43" s="31"/>
      <c r="I43" s="31"/>
      <c r="J43" s="31"/>
      <c r="K43" s="31"/>
      <c r="L43" s="31"/>
      <c r="M43" s="31"/>
      <c r="N43" s="536"/>
    </row>
    <row r="44" spans="1:14">
      <c r="A44" s="559" t="s">
        <v>259</v>
      </c>
      <c r="B44" s="560">
        <f>B43-B42</f>
        <v>5</v>
      </c>
      <c r="C44" s="555"/>
      <c r="D44" s="556"/>
      <c r="E44" s="556"/>
      <c r="F44" s="556"/>
      <c r="G44" s="551"/>
      <c r="H44" s="31"/>
      <c r="I44" s="31"/>
      <c r="J44" s="31"/>
      <c r="K44" s="31"/>
      <c r="L44" s="31"/>
      <c r="M44" s="31"/>
      <c r="N44" s="536"/>
    </row>
    <row r="45" spans="1:14">
      <c r="A45" s="559" t="s">
        <v>260</v>
      </c>
      <c r="B45" s="561">
        <f>B44/B42</f>
        <v>0.04</v>
      </c>
      <c r="C45" s="555"/>
      <c r="D45" s="556"/>
      <c r="E45" s="556"/>
      <c r="F45" s="556"/>
      <c r="G45" s="551"/>
      <c r="H45" s="31"/>
      <c r="I45" s="31"/>
      <c r="J45" s="31"/>
      <c r="K45" s="31"/>
      <c r="L45" s="31"/>
      <c r="M45" s="31"/>
      <c r="N45" s="536"/>
    </row>
    <row r="46" spans="1:14">
      <c r="A46" s="562"/>
      <c r="B46" s="556"/>
      <c r="C46" s="716"/>
      <c r="D46" s="556"/>
      <c r="E46" s="556"/>
      <c r="F46" s="556"/>
      <c r="G46" s="551"/>
      <c r="H46" s="31"/>
      <c r="I46" s="31"/>
      <c r="J46" s="31"/>
      <c r="K46" s="31"/>
      <c r="L46" s="31"/>
      <c r="M46" s="31"/>
      <c r="N46" s="536"/>
    </row>
    <row r="47" spans="1:14">
      <c r="A47" s="879" t="s">
        <v>261</v>
      </c>
      <c r="B47" s="880"/>
      <c r="C47" s="880"/>
      <c r="D47" s="880"/>
      <c r="E47" s="880"/>
      <c r="F47" s="880"/>
      <c r="G47" s="551"/>
      <c r="H47" s="31"/>
      <c r="I47" s="31"/>
      <c r="J47" s="31"/>
      <c r="K47" s="31"/>
      <c r="L47" s="31"/>
      <c r="M47" s="31"/>
      <c r="N47" s="536"/>
    </row>
    <row r="48" spans="1:14" ht="42" customHeight="1">
      <c r="A48" s="881" t="s">
        <v>1104</v>
      </c>
      <c r="B48" s="882"/>
      <c r="C48" s="882"/>
      <c r="D48" s="882"/>
      <c r="E48" s="882"/>
      <c r="F48" s="883"/>
      <c r="G48" s="551"/>
      <c r="H48" s="31"/>
      <c r="I48" s="31"/>
      <c r="J48" s="31"/>
      <c r="K48" s="31"/>
      <c r="L48" s="31"/>
      <c r="M48" s="31"/>
      <c r="N48" s="536"/>
    </row>
    <row r="49" spans="1:14">
      <c r="A49" s="563"/>
      <c r="B49" s="564"/>
      <c r="C49" s="564"/>
      <c r="D49" s="564"/>
      <c r="E49" s="564"/>
      <c r="F49" s="564"/>
      <c r="G49" s="551"/>
      <c r="H49" s="31"/>
      <c r="I49" s="31"/>
      <c r="J49" s="31"/>
      <c r="K49" s="31"/>
      <c r="L49" s="31"/>
      <c r="M49" s="31"/>
      <c r="N49" s="536"/>
    </row>
    <row r="50" spans="1:14">
      <c r="A50" s="565" t="s">
        <v>262</v>
      </c>
      <c r="B50" s="556"/>
      <c r="C50" s="716"/>
      <c r="D50" s="556"/>
      <c r="E50" s="556"/>
      <c r="F50" s="556"/>
      <c r="G50" s="551"/>
      <c r="H50" s="31"/>
      <c r="I50" s="31"/>
      <c r="J50" s="31"/>
      <c r="K50" s="31"/>
      <c r="L50" s="31"/>
      <c r="M50" s="31"/>
      <c r="N50" s="536"/>
    </row>
    <row r="51" spans="1:14" ht="89" customHeight="1">
      <c r="A51" s="881" t="s">
        <v>1105</v>
      </c>
      <c r="B51" s="882"/>
      <c r="C51" s="882"/>
      <c r="D51" s="882"/>
      <c r="E51" s="882"/>
      <c r="F51" s="883"/>
      <c r="G51" s="551"/>
      <c r="H51" s="31"/>
      <c r="I51" s="31"/>
      <c r="J51" s="31"/>
      <c r="K51" s="31"/>
      <c r="L51" s="31"/>
      <c r="M51" s="31"/>
      <c r="N51" s="536"/>
    </row>
    <row r="52" spans="1:14">
      <c r="A52" s="562"/>
      <c r="B52" s="556"/>
      <c r="C52" s="716"/>
      <c r="D52" s="556"/>
      <c r="E52" s="556"/>
      <c r="F52" s="556"/>
      <c r="G52" s="551"/>
      <c r="H52" s="31"/>
      <c r="I52" s="31"/>
      <c r="J52" s="31"/>
      <c r="K52" s="31"/>
      <c r="L52" s="31"/>
      <c r="M52" s="31"/>
      <c r="N52" s="536"/>
    </row>
    <row r="53" spans="1:14">
      <c r="A53" s="879" t="s">
        <v>1020</v>
      </c>
      <c r="B53" s="880"/>
      <c r="C53" s="880"/>
      <c r="D53" s="880"/>
      <c r="E53" s="880"/>
      <c r="F53" s="880"/>
      <c r="G53" s="551"/>
      <c r="H53" s="31"/>
      <c r="I53" s="31"/>
      <c r="J53" s="31"/>
      <c r="K53" s="31"/>
      <c r="L53" s="31"/>
      <c r="M53" s="31"/>
      <c r="N53" s="536"/>
    </row>
    <row r="54" spans="1:14">
      <c r="A54" s="898" t="s">
        <v>1021</v>
      </c>
      <c r="B54" s="899"/>
      <c r="C54" s="899"/>
      <c r="D54" s="899"/>
      <c r="E54" s="899"/>
      <c r="F54" s="899"/>
      <c r="G54" s="551"/>
      <c r="H54" s="31"/>
      <c r="I54" s="31"/>
      <c r="J54" s="31"/>
      <c r="K54" s="31"/>
      <c r="L54" s="31"/>
      <c r="M54" s="31"/>
      <c r="N54" s="536"/>
    </row>
    <row r="55" spans="1:14" ht="87" customHeight="1">
      <c r="A55" s="881" t="s">
        <v>1106</v>
      </c>
      <c r="B55" s="882"/>
      <c r="C55" s="882"/>
      <c r="D55" s="882"/>
      <c r="E55" s="882"/>
      <c r="F55" s="883"/>
      <c r="G55" s="551"/>
      <c r="H55" s="31"/>
      <c r="I55" s="31"/>
      <c r="J55" s="31"/>
      <c r="K55" s="31"/>
      <c r="L55" s="31"/>
      <c r="M55" s="31"/>
      <c r="N55" s="536"/>
    </row>
    <row r="56" spans="1:14">
      <c r="A56" s="565"/>
      <c r="B56" s="556"/>
      <c r="C56" s="716"/>
      <c r="D56" s="556"/>
      <c r="E56" s="556"/>
      <c r="F56" s="556"/>
      <c r="G56" s="551"/>
      <c r="H56" s="31"/>
      <c r="I56" s="31"/>
      <c r="J56" s="31"/>
      <c r="K56" s="31"/>
      <c r="L56" s="31"/>
      <c r="M56" s="31"/>
      <c r="N56" s="536"/>
    </row>
    <row r="57" spans="1:14">
      <c r="A57" s="879" t="s">
        <v>264</v>
      </c>
      <c r="B57" s="880"/>
      <c r="C57" s="880"/>
      <c r="D57" s="880"/>
      <c r="E57" s="880"/>
      <c r="F57" s="556"/>
      <c r="G57" s="551"/>
      <c r="H57" s="31"/>
      <c r="I57" s="31"/>
      <c r="J57" s="31"/>
      <c r="K57" s="31"/>
      <c r="L57" s="31"/>
      <c r="M57" s="31"/>
      <c r="N57" s="536"/>
    </row>
    <row r="58" spans="1:14" ht="34.5" customHeight="1">
      <c r="A58" s="900" t="s">
        <v>1107</v>
      </c>
      <c r="B58" s="901"/>
      <c r="C58" s="901"/>
      <c r="D58" s="901"/>
      <c r="E58" s="901"/>
      <c r="F58" s="902"/>
      <c r="G58" s="551"/>
      <c r="H58" s="31"/>
      <c r="I58" s="31"/>
      <c r="J58" s="31"/>
      <c r="K58" s="31"/>
      <c r="L58" s="31"/>
      <c r="M58" s="31"/>
      <c r="N58" s="536"/>
    </row>
    <row r="59" spans="1:14">
      <c r="A59" s="562"/>
      <c r="B59" s="556"/>
      <c r="C59" s="716"/>
      <c r="D59" s="556"/>
      <c r="E59" s="556"/>
      <c r="F59" s="556"/>
      <c r="G59" s="551"/>
      <c r="H59" s="31"/>
      <c r="I59" s="31"/>
      <c r="J59" s="31"/>
      <c r="K59" s="31"/>
      <c r="L59" s="31"/>
      <c r="M59" s="31"/>
      <c r="N59" s="536"/>
    </row>
    <row r="60" spans="1:14">
      <c r="A60" s="565" t="s">
        <v>265</v>
      </c>
      <c r="B60" s="556"/>
      <c r="C60" s="716"/>
      <c r="D60" s="556"/>
      <c r="E60" s="556"/>
      <c r="F60" s="556"/>
      <c r="G60" s="551"/>
      <c r="H60" s="31"/>
      <c r="I60" s="31"/>
      <c r="J60" s="31"/>
      <c r="K60" s="31"/>
      <c r="L60" s="31"/>
      <c r="M60" s="31"/>
      <c r="N60" s="536"/>
    </row>
    <row r="61" spans="1:14">
      <c r="A61" s="566" t="s">
        <v>266</v>
      </c>
      <c r="B61" s="556"/>
      <c r="C61" s="716"/>
      <c r="D61" s="556"/>
      <c r="E61" s="556"/>
      <c r="F61" s="556"/>
      <c r="G61" s="551"/>
      <c r="H61" s="31"/>
      <c r="I61" s="31"/>
      <c r="J61" s="31"/>
      <c r="K61" s="31"/>
      <c r="L61" s="31"/>
      <c r="M61" s="31"/>
      <c r="N61" s="536"/>
    </row>
    <row r="62" spans="1:14" ht="26.25" customHeight="1">
      <c r="A62" s="892" t="s">
        <v>1030</v>
      </c>
      <c r="B62" s="893"/>
      <c r="C62" s="893"/>
      <c r="D62" s="893"/>
      <c r="E62" s="893"/>
      <c r="F62" s="893"/>
      <c r="G62" s="551"/>
      <c r="H62" s="31"/>
      <c r="I62" s="31"/>
      <c r="J62" s="31"/>
      <c r="K62" s="31"/>
      <c r="L62" s="31"/>
      <c r="M62" s="31"/>
      <c r="N62" s="536"/>
    </row>
    <row r="63" spans="1:14" ht="26.25" customHeight="1">
      <c r="A63" s="900" t="s">
        <v>1108</v>
      </c>
      <c r="B63" s="901"/>
      <c r="C63" s="901"/>
      <c r="D63" s="901"/>
      <c r="E63" s="901"/>
      <c r="F63" s="902"/>
      <c r="G63" s="551"/>
      <c r="H63" s="31"/>
      <c r="I63" s="31"/>
      <c r="J63" s="31"/>
      <c r="K63" s="31"/>
      <c r="L63" s="31"/>
      <c r="M63" s="31"/>
      <c r="N63" s="536"/>
    </row>
    <row r="64" spans="1:14">
      <c r="A64" s="894"/>
      <c r="B64" s="895"/>
      <c r="C64" s="895"/>
      <c r="D64" s="895"/>
      <c r="E64" s="895"/>
      <c r="F64" s="895"/>
      <c r="G64" s="551"/>
      <c r="H64" s="31"/>
      <c r="I64" s="31"/>
      <c r="J64" s="31"/>
      <c r="K64" s="31"/>
      <c r="L64" s="31"/>
      <c r="M64" s="31"/>
      <c r="N64" s="536"/>
    </row>
    <row r="65" spans="1:14">
      <c r="A65" s="566" t="s">
        <v>268</v>
      </c>
      <c r="B65" s="556"/>
      <c r="C65" s="716"/>
      <c r="D65" s="556"/>
      <c r="E65" s="556"/>
      <c r="F65" s="556"/>
      <c r="G65" s="551"/>
      <c r="H65" s="31"/>
      <c r="I65" s="31"/>
      <c r="J65" s="31"/>
      <c r="K65" s="31"/>
      <c r="L65" s="31"/>
      <c r="M65" s="31"/>
      <c r="N65" s="536"/>
    </row>
    <row r="66" spans="1:14" ht="28.75" customHeight="1">
      <c r="A66" s="896" t="s">
        <v>269</v>
      </c>
      <c r="B66" s="897"/>
      <c r="C66" s="897"/>
      <c r="D66" s="897"/>
      <c r="E66" s="897"/>
      <c r="F66" s="897"/>
      <c r="G66" s="551"/>
      <c r="H66" s="31"/>
      <c r="I66" s="31"/>
      <c r="J66" s="31"/>
      <c r="K66" s="31"/>
      <c r="L66" s="31"/>
      <c r="M66" s="31"/>
      <c r="N66" s="536"/>
    </row>
    <row r="67" spans="1:14" ht="30.75" customHeight="1">
      <c r="A67" s="889" t="s">
        <v>452</v>
      </c>
      <c r="B67" s="890"/>
      <c r="C67" s="890"/>
      <c r="D67" s="890"/>
      <c r="E67" s="890"/>
      <c r="F67" s="891"/>
      <c r="G67" s="551"/>
      <c r="H67" s="31"/>
      <c r="I67" s="31"/>
      <c r="J67" s="31"/>
      <c r="K67" s="31"/>
      <c r="L67" s="31"/>
      <c r="M67" s="31"/>
      <c r="N67" s="536"/>
    </row>
    <row r="68" spans="1:14" ht="15" thickBot="1">
      <c r="A68" s="567"/>
      <c r="B68" s="568"/>
      <c r="C68" s="569"/>
      <c r="D68" s="568"/>
      <c r="E68" s="568"/>
      <c r="F68" s="568"/>
      <c r="G68" s="570"/>
      <c r="H68" s="31"/>
      <c r="I68" s="31"/>
      <c r="J68" s="31"/>
      <c r="K68" s="31"/>
      <c r="L68" s="31"/>
      <c r="M68" s="31"/>
      <c r="N68" s="536"/>
    </row>
    <row r="69" spans="1:14">
      <c r="A69" s="31"/>
      <c r="B69" s="31"/>
      <c r="C69" s="32"/>
      <c r="D69" s="31"/>
      <c r="E69" s="31"/>
      <c r="F69" s="31"/>
      <c r="G69" s="31"/>
      <c r="H69" s="31"/>
      <c r="I69" s="31"/>
      <c r="J69" s="31"/>
      <c r="K69" s="31"/>
      <c r="L69" s="31"/>
      <c r="M69" s="31"/>
      <c r="N69" s="536"/>
    </row>
    <row r="70" spans="1:14">
      <c r="A70" s="31"/>
      <c r="B70" s="31"/>
      <c r="C70" s="32"/>
      <c r="D70" s="31"/>
      <c r="E70" s="31"/>
      <c r="F70" s="31"/>
      <c r="G70" s="31"/>
      <c r="H70" s="31"/>
      <c r="I70" s="31"/>
      <c r="J70" s="31"/>
      <c r="K70" s="31"/>
      <c r="L70" s="31"/>
      <c r="M70" s="31"/>
      <c r="N70" s="536"/>
    </row>
    <row r="71" spans="1:14">
      <c r="A71" s="31"/>
      <c r="B71" s="31"/>
      <c r="C71" s="32"/>
      <c r="D71" s="31"/>
      <c r="E71" s="31"/>
      <c r="F71" s="31"/>
      <c r="G71" s="31"/>
      <c r="H71" s="31"/>
      <c r="I71" s="31"/>
      <c r="J71" s="31"/>
      <c r="K71" s="31"/>
      <c r="L71" s="31"/>
      <c r="M71" s="31"/>
      <c r="N71" s="536"/>
    </row>
    <row r="72" spans="1:14">
      <c r="A72" s="31"/>
      <c r="B72" s="31"/>
      <c r="C72" s="32"/>
      <c r="D72" s="31"/>
      <c r="E72" s="31"/>
      <c r="F72" s="31"/>
      <c r="G72" s="31"/>
      <c r="H72" s="31"/>
      <c r="I72" s="31"/>
      <c r="J72" s="31"/>
      <c r="K72" s="31"/>
      <c r="L72" s="31"/>
      <c r="M72" s="31"/>
      <c r="N72" s="536"/>
    </row>
    <row r="73" spans="1:14">
      <c r="A73" s="31"/>
      <c r="B73" s="31"/>
      <c r="C73" s="32"/>
      <c r="D73" s="31"/>
      <c r="E73" s="31"/>
      <c r="F73" s="31"/>
      <c r="G73" s="31"/>
      <c r="H73" s="31"/>
      <c r="I73" s="31"/>
      <c r="J73" s="31"/>
      <c r="K73" s="31"/>
      <c r="L73" s="31"/>
      <c r="M73" s="31"/>
      <c r="N73" s="536"/>
    </row>
    <row r="74" spans="1:14">
      <c r="A74" s="31"/>
      <c r="B74" s="31"/>
      <c r="C74" s="32"/>
      <c r="D74" s="31"/>
      <c r="E74" s="31"/>
      <c r="F74" s="31"/>
      <c r="G74" s="31"/>
      <c r="H74" s="31"/>
      <c r="I74" s="31"/>
      <c r="J74" s="31"/>
      <c r="K74" s="31"/>
      <c r="L74" s="31"/>
      <c r="M74" s="31"/>
      <c r="N74" s="536"/>
    </row>
    <row r="75" spans="1:14">
      <c r="A75" s="31"/>
      <c r="B75" s="31"/>
      <c r="C75" s="32"/>
      <c r="D75" s="31"/>
      <c r="E75" s="31"/>
      <c r="F75" s="31"/>
      <c r="G75" s="31"/>
      <c r="H75" s="31"/>
      <c r="I75" s="31"/>
      <c r="J75" s="31"/>
      <c r="K75" s="31"/>
      <c r="L75" s="31"/>
      <c r="M75" s="31"/>
      <c r="N75" s="536"/>
    </row>
    <row r="76" spans="1:14">
      <c r="A76" s="31"/>
      <c r="B76" s="31"/>
      <c r="C76" s="32"/>
      <c r="D76" s="31"/>
      <c r="E76" s="31"/>
      <c r="F76" s="31"/>
      <c r="G76" s="31"/>
      <c r="H76" s="31"/>
      <c r="I76" s="31"/>
      <c r="J76" s="31"/>
      <c r="K76" s="31"/>
      <c r="L76" s="31"/>
      <c r="M76" s="31"/>
      <c r="N76" s="536"/>
    </row>
    <row r="77" spans="1:14">
      <c r="A77" s="31"/>
      <c r="B77" s="31"/>
      <c r="C77" s="32"/>
      <c r="D77" s="31"/>
      <c r="E77" s="31"/>
      <c r="F77" s="31"/>
      <c r="G77" s="31"/>
      <c r="H77" s="31"/>
      <c r="I77" s="31"/>
      <c r="J77" s="31"/>
      <c r="K77" s="31"/>
      <c r="L77" s="31"/>
      <c r="M77" s="31"/>
      <c r="N77" s="536"/>
    </row>
    <row r="78" spans="1:14">
      <c r="A78" s="31"/>
      <c r="B78" s="31"/>
      <c r="C78" s="32"/>
      <c r="D78" s="31"/>
      <c r="E78" s="31"/>
      <c r="F78" s="31"/>
      <c r="G78" s="31"/>
      <c r="H78" s="31"/>
      <c r="I78" s="31"/>
      <c r="J78" s="31"/>
      <c r="K78" s="31"/>
      <c r="L78" s="31"/>
      <c r="M78" s="31"/>
      <c r="N78" s="536"/>
    </row>
    <row r="79" spans="1:14">
      <c r="A79" s="31"/>
      <c r="B79" s="31"/>
      <c r="C79" s="32"/>
      <c r="D79" s="31"/>
      <c r="E79" s="31"/>
      <c r="F79" s="31"/>
      <c r="G79" s="31"/>
      <c r="H79" s="31"/>
      <c r="I79" s="31"/>
      <c r="J79" s="31"/>
      <c r="K79" s="31"/>
      <c r="L79" s="31"/>
      <c r="M79" s="31"/>
      <c r="N79" s="536"/>
    </row>
    <row r="80" spans="1:14">
      <c r="A80" s="31"/>
      <c r="B80" s="31"/>
      <c r="C80" s="32"/>
      <c r="D80" s="31"/>
      <c r="E80" s="31"/>
      <c r="F80" s="31"/>
      <c r="G80" s="31"/>
      <c r="H80" s="31"/>
      <c r="I80" s="31"/>
      <c r="J80" s="31"/>
      <c r="K80" s="31"/>
      <c r="L80" s="31"/>
      <c r="M80" s="31"/>
      <c r="N80" s="536"/>
    </row>
    <row r="81" spans="1:14">
      <c r="A81" s="31"/>
      <c r="B81" s="31"/>
      <c r="C81" s="32"/>
      <c r="D81" s="31"/>
      <c r="E81" s="31"/>
      <c r="F81" s="31"/>
      <c r="G81" s="31"/>
      <c r="H81" s="31"/>
      <c r="I81" s="31"/>
      <c r="J81" s="31"/>
      <c r="K81" s="31"/>
      <c r="L81" s="31"/>
      <c r="M81" s="31"/>
      <c r="N81" s="536"/>
    </row>
    <row r="82" spans="1:14">
      <c r="A82" s="31"/>
      <c r="B82" s="31"/>
      <c r="C82" s="32"/>
      <c r="D82" s="31"/>
      <c r="E82" s="31"/>
      <c r="F82" s="31"/>
      <c r="G82" s="31"/>
      <c r="H82" s="31"/>
      <c r="I82" s="31"/>
      <c r="J82" s="31"/>
      <c r="K82" s="31"/>
      <c r="L82" s="31"/>
      <c r="M82" s="31"/>
      <c r="N82" s="536"/>
    </row>
    <row r="83" spans="1:14">
      <c r="A83" s="31"/>
      <c r="B83" s="31"/>
      <c r="C83" s="32"/>
      <c r="D83" s="31"/>
      <c r="E83" s="31"/>
      <c r="F83" s="31"/>
      <c r="G83" s="31"/>
      <c r="H83" s="31"/>
      <c r="I83" s="31"/>
      <c r="J83" s="31"/>
      <c r="K83" s="31"/>
      <c r="L83" s="31"/>
      <c r="M83" s="31"/>
      <c r="N83" s="536"/>
    </row>
    <row r="84" spans="1:14">
      <c r="A84" s="31"/>
      <c r="B84" s="31"/>
      <c r="C84" s="32"/>
      <c r="D84" s="31"/>
      <c r="E84" s="31"/>
      <c r="F84" s="31"/>
      <c r="G84" s="31"/>
      <c r="H84" s="31"/>
      <c r="I84" s="31"/>
      <c r="J84" s="31"/>
      <c r="K84" s="31"/>
      <c r="L84" s="31"/>
      <c r="M84" s="31"/>
      <c r="N84" s="536"/>
    </row>
    <row r="85" spans="1:14">
      <c r="A85" s="31"/>
      <c r="B85" s="31"/>
      <c r="C85" s="32"/>
      <c r="D85" s="31"/>
      <c r="E85" s="31"/>
      <c r="F85" s="31"/>
      <c r="G85" s="31"/>
      <c r="H85" s="31"/>
      <c r="I85" s="31"/>
      <c r="J85" s="31"/>
      <c r="K85" s="31"/>
      <c r="L85" s="31"/>
      <c r="M85" s="31"/>
      <c r="N85" s="536"/>
    </row>
    <row r="86" spans="1:14">
      <c r="A86" s="31"/>
      <c r="B86" s="31"/>
      <c r="C86" s="32"/>
      <c r="D86" s="31"/>
      <c r="E86" s="31"/>
      <c r="F86" s="31"/>
      <c r="G86" s="31"/>
      <c r="H86" s="31"/>
      <c r="I86" s="31"/>
      <c r="J86" s="31"/>
      <c r="K86" s="31"/>
      <c r="L86" s="31"/>
      <c r="M86" s="31"/>
      <c r="N86" s="536"/>
    </row>
    <row r="87" spans="1:14">
      <c r="A87" s="31"/>
      <c r="B87" s="31"/>
      <c r="C87" s="32"/>
      <c r="D87" s="31"/>
      <c r="E87" s="31"/>
      <c r="F87" s="31"/>
      <c r="G87" s="31"/>
      <c r="H87" s="31"/>
      <c r="I87" s="31"/>
      <c r="J87" s="31"/>
      <c r="K87" s="31"/>
      <c r="L87" s="31"/>
      <c r="M87" s="31"/>
      <c r="N87" s="536"/>
    </row>
  </sheetData>
  <mergeCells count="17">
    <mergeCell ref="A58:F58"/>
    <mergeCell ref="A1:N1"/>
    <mergeCell ref="A39:F39"/>
    <mergeCell ref="A40:F40"/>
    <mergeCell ref="A41:B41"/>
    <mergeCell ref="A47:F47"/>
    <mergeCell ref="A48:F48"/>
    <mergeCell ref="A51:F51"/>
    <mergeCell ref="A53:F53"/>
    <mergeCell ref="A54:F54"/>
    <mergeCell ref="A55:F55"/>
    <mergeCell ref="A57:E57"/>
    <mergeCell ref="A62:F62"/>
    <mergeCell ref="A63:F63"/>
    <mergeCell ref="A64:F64"/>
    <mergeCell ref="A66:F66"/>
    <mergeCell ref="A67:F6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1d70d2e-c716-431c-8f60-6265183dc3f0">
      <Terms xmlns="http://schemas.microsoft.com/office/infopath/2007/PartnerControls"/>
    </lcf76f155ced4ddcb4097134ff3c332f>
    <TaxCatchAll xmlns="31062a0d-ede8-4112-b4bb-00a9c1bc8e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E252CA5D798348B525EE5AB8EF5B99" ma:contentTypeVersion="16" ma:contentTypeDescription="Create a new document." ma:contentTypeScope="" ma:versionID="c3a9e17dbe8d54e33f7a0234c8c2bc8d">
  <xsd:schema xmlns:xsd="http://www.w3.org/2001/XMLSchema" xmlns:xs="http://www.w3.org/2001/XMLSchema" xmlns:p="http://schemas.microsoft.com/office/2006/metadata/properties" xmlns:ns2="31d70d2e-c716-431c-8f60-6265183dc3f0" xmlns:ns3="8485b1c4-1230-4cee-9069-208a9fb16a86" xmlns:ns4="31062a0d-ede8-4112-b4bb-00a9c1bc8e16" targetNamespace="http://schemas.microsoft.com/office/2006/metadata/properties" ma:root="true" ma:fieldsID="ad278ee6abced8d4f1d8d46e0c411e3a" ns2:_="" ns3:_="" ns4:_="">
    <xsd:import namespace="31d70d2e-c716-431c-8f60-6265183dc3f0"/>
    <xsd:import namespace="8485b1c4-1230-4cee-9069-208a9fb16a86"/>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70d2e-c716-431c-8f60-6265183dc3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85b1c4-1230-4cee-9069-208a9fb16a8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ea4df76-c68b-44b7-b4fb-b053637df909}" ma:internalName="TaxCatchAll" ma:showField="CatchAllData" ma:web="8485b1c4-1230-4cee-9069-208a9fb16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CD77F-7FE0-49A1-AAF6-ACF437A29474}">
  <ds:schemaRefs>
    <ds:schemaRef ds:uri="http://schemas.microsoft.com/office/2006/metadata/properties"/>
    <ds:schemaRef ds:uri="http://schemas.microsoft.com/office/infopath/2007/PartnerControls"/>
    <ds:schemaRef ds:uri="31d70d2e-c716-431c-8f60-6265183dc3f0"/>
    <ds:schemaRef ds:uri="31062a0d-ede8-4112-b4bb-00a9c1bc8e16"/>
  </ds:schemaRefs>
</ds:datastoreItem>
</file>

<file path=customXml/itemProps2.xml><?xml version="1.0" encoding="utf-8"?>
<ds:datastoreItem xmlns:ds="http://schemas.openxmlformats.org/officeDocument/2006/customXml" ds:itemID="{320C9D92-D4E2-416B-86FC-AF2ED829F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70d2e-c716-431c-8f60-6265183dc3f0"/>
    <ds:schemaRef ds:uri="8485b1c4-1230-4cee-9069-208a9fb16a86"/>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5CE2C-90C4-4D57-B42A-0A0FE17B69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15</vt:i4>
      </vt:variant>
    </vt:vector>
  </HeadingPairs>
  <TitlesOfParts>
    <vt:vector size="69" baseType="lpstr">
      <vt:lpstr>Prep%Fuelspercentage.direct</vt:lpstr>
      <vt:lpstr>Chng Log</vt:lpstr>
      <vt:lpstr>Summary</vt:lpstr>
      <vt:lpstr>DOI Prog&amp;SLA Summary</vt:lpstr>
      <vt:lpstr>IT (WFIT) Project Summary</vt:lpstr>
      <vt:lpstr>Aviation Assets~Prep</vt:lpstr>
      <vt:lpstr>Aviation Assets~Supp</vt:lpstr>
      <vt:lpstr>Collaborative Imp</vt:lpstr>
      <vt:lpstr>DOI prep agrmnts</vt:lpstr>
      <vt:lpstr>LLC Support</vt:lpstr>
      <vt:lpstr>Lightning Det.</vt:lpstr>
      <vt:lpstr>Med Standards Ops</vt:lpstr>
      <vt:lpstr>Physical &amp; Mental Health Ops</vt:lpstr>
      <vt:lpstr>WFMRD&amp;A</vt:lpstr>
      <vt:lpstr>DOI Fuels Agrmnts</vt:lpstr>
      <vt:lpstr>SageSTEP</vt:lpstr>
      <vt:lpstr>Smoke Postions</vt:lpstr>
      <vt:lpstr>BAR Program</vt:lpstr>
      <vt:lpstr>BAR Program ~ BIL</vt:lpstr>
      <vt:lpstr>CPC</vt:lpstr>
      <vt:lpstr>FIRES</vt:lpstr>
      <vt:lpstr>Med Standards Exams</vt:lpstr>
      <vt:lpstr>Misc and one-time - Prep</vt:lpstr>
      <vt:lpstr>Misc and one-time - Fuels</vt:lpstr>
      <vt:lpstr>NIFC Site &amp; Admin</vt:lpstr>
      <vt:lpstr>NWCG Staff</vt:lpstr>
      <vt:lpstr>NWCG Prep Projects</vt:lpstr>
      <vt:lpstr>RSFWSU (RAWS) SLA</vt:lpstr>
      <vt:lpstr>FireNET.Licensing</vt:lpstr>
      <vt:lpstr>Facilities Plan</vt:lpstr>
      <vt:lpstr>Active Lands PoC</vt:lpstr>
      <vt:lpstr>AGOL Collector</vt:lpstr>
      <vt:lpstr>CAD</vt:lpstr>
      <vt:lpstr>CROS</vt:lpstr>
      <vt:lpstr>FEIS</vt:lpstr>
      <vt:lpstr>FFI</vt:lpstr>
      <vt:lpstr>FireCode</vt:lpstr>
      <vt:lpstr>FIRENET</vt:lpstr>
      <vt:lpstr>FxNET-AWIPSII</vt:lpstr>
      <vt:lpstr>IFTDSS</vt:lpstr>
      <vt:lpstr>INFORM</vt:lpstr>
      <vt:lpstr>IQCS</vt:lpstr>
      <vt:lpstr>IrWIN</vt:lpstr>
      <vt:lpstr>LANDFIRE</vt:lpstr>
      <vt:lpstr>MTBS</vt:lpstr>
      <vt:lpstr>NFPORS</vt:lpstr>
      <vt:lpstr>SAFENET</vt:lpstr>
      <vt:lpstr>WFDSS</vt:lpstr>
      <vt:lpstr>WFIT Data Management</vt:lpstr>
      <vt:lpstr>WFIT Staff</vt:lpstr>
      <vt:lpstr>WFMI-Fire Reporting</vt:lpstr>
      <vt:lpstr>WFMI-Unit ID</vt:lpstr>
      <vt:lpstr>WFMI-Weather</vt:lpstr>
      <vt:lpstr>WPSAPS</vt:lpstr>
      <vt:lpstr>'Aviation Assets~Prep'!Print_Area</vt:lpstr>
      <vt:lpstr>'Collaborative Imp'!Print_Area</vt:lpstr>
      <vt:lpstr>'DOI Prog&amp;SLA Summary'!Print_Area</vt:lpstr>
      <vt:lpstr>'IT (WFIT) Project Summary'!Print_Area</vt:lpstr>
      <vt:lpstr>Summary!Print_Area</vt:lpstr>
      <vt:lpstr>'DOI Fuels Agrmnts'!Print_Titles</vt:lpstr>
      <vt:lpstr>'DOI prep agrmnts'!Print_Titles</vt:lpstr>
      <vt:lpstr>'DOI Prog&amp;SLA Summary'!Print_Titles</vt:lpstr>
      <vt:lpstr>IFTDSS!Print_Titles</vt:lpstr>
      <vt:lpstr>IrWIN!Print_Titles</vt:lpstr>
      <vt:lpstr>LANDFIRE!Print_Titles</vt:lpstr>
      <vt:lpstr>NFPORS!Print_Titles</vt:lpstr>
      <vt:lpstr>'NWCG Staff'!Print_Titles</vt:lpstr>
      <vt:lpstr>'Prep%Fuelspercentage.direct'!Print_Titles</vt:lpstr>
      <vt:lpstr>Summary!Print_Titles</vt:lpstr>
    </vt:vector>
  </TitlesOfParts>
  <Manager/>
  <Company>NBC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Schmitz, Denise</dc:creator>
  <cp:keywords/>
  <dc:description/>
  <cp:lastModifiedBy>Salwasser, Kimberly R</cp:lastModifiedBy>
  <cp:revision/>
  <dcterms:created xsi:type="dcterms:W3CDTF">2013-03-19T15:11:40Z</dcterms:created>
  <dcterms:modified xsi:type="dcterms:W3CDTF">2024-05-09T23:58:48Z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0x01010061E252CA5D798348B525EE5AB8EF5B99</vt:lpwstr>
  </property>
  <property fmtid="{D5CDD505-2E9C-101B-9397-08002B2CF9AE}" pid="3" name="MediaServiceImageTags">
    <vt:lpwstr/>
  </property>
</Properties>
</file>